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785" yWindow="65521" windowWidth="10770" windowHeight="10950" activeTab="0"/>
  </bookViews>
  <sheets>
    <sheet name="разбивка на тариф" sheetId="1" r:id="rId1"/>
  </sheets>
  <definedNames>
    <definedName name="_xlnm.Print_Area" localSheetId="0">'разбивка на тариф'!$A$1:$AA$196</definedName>
  </definedNames>
  <calcPr fullCalcOnLoad="1"/>
</workbook>
</file>

<file path=xl/sharedStrings.xml><?xml version="1.0" encoding="utf-8"?>
<sst xmlns="http://schemas.openxmlformats.org/spreadsheetml/2006/main" count="261" uniqueCount="205">
  <si>
    <t>Ленина, 32а</t>
  </si>
  <si>
    <t>№ пп</t>
  </si>
  <si>
    <t>Наименование  объекта (адрес)</t>
  </si>
  <si>
    <t>Капитальный ремонт</t>
  </si>
  <si>
    <t>Жилищный фонд ООО "ЖилКомСервис" (начисление и расходование денежных средств на капитальный и текущий ремонт домов за 2009 и 2010 год, руб.)</t>
  </si>
  <si>
    <t>начислено</t>
  </si>
  <si>
    <t>оплачено</t>
  </si>
  <si>
    <t>собственники квартир</t>
  </si>
  <si>
    <t>наём</t>
  </si>
  <si>
    <t>выполнено работ за год на сумму</t>
  </si>
  <si>
    <t>2009 год</t>
  </si>
  <si>
    <t>2010 год</t>
  </si>
  <si>
    <t>Текущий ремонт</t>
  </si>
  <si>
    <t>выполнено работ на сумму</t>
  </si>
  <si>
    <t>Расход средств на электроэнергию в местах общего пользования за 2009 год</t>
  </si>
  <si>
    <t>Расход средств на электроэнергию в местах общего пользования за 2010 год</t>
  </si>
  <si>
    <t>Жилищный фонд ООО "СервисПлюс" (начисление и расходование денежных средств на капитальный и текущий ремонт домов за 2009 и 2010 год, руб.)</t>
  </si>
  <si>
    <t>Ольминского, пос., 10</t>
  </si>
  <si>
    <t>Ольминского, пос., 10а</t>
  </si>
  <si>
    <t>Ольминского, пос., 11</t>
  </si>
  <si>
    <t>Ольминского, пос., 13</t>
  </si>
  <si>
    <t>Ольминского, пос., 14</t>
  </si>
  <si>
    <t>Ольминского, пос., 15</t>
  </si>
  <si>
    <t>Ольминского, пос., 16</t>
  </si>
  <si>
    <t>Ольминского, пос., 17</t>
  </si>
  <si>
    <t>Привокзальный туп., 1</t>
  </si>
  <si>
    <t>Садовый пер., д. 19</t>
  </si>
  <si>
    <t>Садовый пер., д. 19а</t>
  </si>
  <si>
    <t>Свердлова ул., д. 11</t>
  </si>
  <si>
    <t>Свердлова ул., д. 13</t>
  </si>
  <si>
    <t>Свердлова ул., д. 16</t>
  </si>
  <si>
    <t>Свердлова ул., д. 18</t>
  </si>
  <si>
    <t>Свердлова ул., д. 20</t>
  </si>
  <si>
    <t>Свердлова ул., д. 20а</t>
  </si>
  <si>
    <t>Свердлова ул., д. 24</t>
  </si>
  <si>
    <t>Свердлова ул., д. 26</t>
  </si>
  <si>
    <t>Свердлова ул., д. 5а</t>
  </si>
  <si>
    <t>Свердлова ул., д. 7</t>
  </si>
  <si>
    <t>Свердлова ул., д. 8</t>
  </si>
  <si>
    <t>Свердлова ул., д. 9</t>
  </si>
  <si>
    <t>Собины, ул., д.12</t>
  </si>
  <si>
    <t>Собины, ул., д.14</t>
  </si>
  <si>
    <t>Собины, ул., д.16-ЖД</t>
  </si>
  <si>
    <t>Собины, ул., д.16-Общ.</t>
  </si>
  <si>
    <t>Собины, ул., д.18</t>
  </si>
  <si>
    <t>Собины, ул., д. 20</t>
  </si>
  <si>
    <t>Собины, ул., д. 6</t>
  </si>
  <si>
    <t>Собины, ул., д. 8</t>
  </si>
  <si>
    <t>Тимирязева, ул., д. 14а</t>
  </si>
  <si>
    <t>Тимирязева, ул., д. 181</t>
  </si>
  <si>
    <t>Тимирязева, ул., д. 183</t>
  </si>
  <si>
    <t>Тимирязева, ул., д. 185</t>
  </si>
  <si>
    <t>Тимирязева, ул., д. 29</t>
  </si>
  <si>
    <t>Тимирязева, ул., д. 30</t>
  </si>
  <si>
    <t>Тимирязева, ул., д. 31</t>
  </si>
  <si>
    <t>Тимирязева, ул., д. 32</t>
  </si>
  <si>
    <t>Тимирязева, ул., д. 33</t>
  </si>
  <si>
    <t>Тимирязева, ул., д. 34</t>
  </si>
  <si>
    <t>Тимирязева, ул., д. 35</t>
  </si>
  <si>
    <t>Фрунзе, ул., д. 1</t>
  </si>
  <si>
    <t>Фрунзе, ул., д. 3</t>
  </si>
  <si>
    <t>Фрунзе, ул., д. 5</t>
  </si>
  <si>
    <t>Фрунзе, ул., д. 7</t>
  </si>
  <si>
    <t>Юбилейная, ул., д. 105</t>
  </si>
  <si>
    <t>Юбилейная, ул., д. 11</t>
  </si>
  <si>
    <t>Юбилейная, ул., д. 2</t>
  </si>
  <si>
    <t>Юбилейная, ул., д. 4</t>
  </si>
  <si>
    <t>Юбилейная, ул., д. 6</t>
  </si>
  <si>
    <t>Юбилейная, ул., д. 9</t>
  </si>
  <si>
    <t>Южный, пер., д. 11</t>
  </si>
  <si>
    <t>Южный, пер., д. 3</t>
  </si>
  <si>
    <t>Южный, пер., д. 5</t>
  </si>
  <si>
    <t>Южный, пер., д. 7</t>
  </si>
  <si>
    <t>Ющенко, ул., д. 100</t>
  </si>
  <si>
    <t>Ющенко, ул., д. 102</t>
  </si>
  <si>
    <t>Ющенко, ул., д. 104</t>
  </si>
  <si>
    <t>Ющенко, ул., д. 106</t>
  </si>
  <si>
    <t>Ющенко, ул., д. 108</t>
  </si>
  <si>
    <t>Ющенко, ул., д. 114</t>
  </si>
  <si>
    <t>Ющенко, ул., д. 116</t>
  </si>
  <si>
    <t>Ющенко, ул., д. 118</t>
  </si>
  <si>
    <t>Ющенко, ул., д. 120</t>
  </si>
  <si>
    <t>Ющенко, ул., д. 43</t>
  </si>
  <si>
    <t>Ющенко, ул., д. 45</t>
  </si>
  <si>
    <t>Ющенко, ул., д. 47</t>
  </si>
  <si>
    <t>Ющенко, ул., д. 49</t>
  </si>
  <si>
    <t>Ющенко, ул., д. 51</t>
  </si>
  <si>
    <t>Ющенко, ул., д. 53</t>
  </si>
  <si>
    <t>Ющенко, ул., д. 98</t>
  </si>
  <si>
    <t>Заводская, ул., д.11</t>
  </si>
  <si>
    <t>Заводская, ул., д. 9</t>
  </si>
  <si>
    <t>Комсомольская, ул., д.108</t>
  </si>
  <si>
    <t>К. Маркса, ул., д. 1</t>
  </si>
  <si>
    <t>К. Маркса, ул., д. 10</t>
  </si>
  <si>
    <t>К. Маркса, ул., д. 12</t>
  </si>
  <si>
    <t>К. Маркса, ул., д. 14</t>
  </si>
  <si>
    <t>К. Маркса, ул., д. 16</t>
  </si>
  <si>
    <t>К. Маркса, ул., д. 22</t>
  </si>
  <si>
    <t>К. Маркса, ул., д. 24</t>
  </si>
  <si>
    <t>К. Маркса, ул., д. 3</t>
  </si>
  <si>
    <t>К. Маркса, ул., д. 4</t>
  </si>
  <si>
    <t>К. Маркса, ул., д. 33</t>
  </si>
  <si>
    <t>К. Маркса, ул., д. 6</t>
  </si>
  <si>
    <t>К. Маркса, ул., д. 7</t>
  </si>
  <si>
    <t>К. Маркса, ул., д. 8</t>
  </si>
  <si>
    <t>Маяковского, ул. д. 119</t>
  </si>
  <si>
    <t>Маяковского, ул. д. 121</t>
  </si>
  <si>
    <t>Маяковского, ул. д. 123</t>
  </si>
  <si>
    <t>Маяковского, ул. д. 70</t>
  </si>
  <si>
    <t>Маяковского, ул. д. 76</t>
  </si>
  <si>
    <t>Маяковского, ул. д. 88</t>
  </si>
  <si>
    <t>Маяковского, ул. д. 92</t>
  </si>
  <si>
    <t>Маяковского, ул. д. 92а</t>
  </si>
  <si>
    <t>Маяковского, ул. д. 94</t>
  </si>
  <si>
    <t>Маяковского, ул. д. 94а</t>
  </si>
  <si>
    <t>Маяковского, ул. д. 96</t>
  </si>
  <si>
    <t>Гагарина, ул., д.15</t>
  </si>
  <si>
    <t>7 Ноября, ул., д. 36</t>
  </si>
  <si>
    <t>Гагарина, ул., д.5</t>
  </si>
  <si>
    <t>Гагарина, ул., д.9</t>
  </si>
  <si>
    <t>Кирова, ул., д. 59</t>
  </si>
  <si>
    <t>Красноармейская, ул., д. 11</t>
  </si>
  <si>
    <t>Красноармейская, ул., д. 22</t>
  </si>
  <si>
    <t>Красноармейская, ул., д.4</t>
  </si>
  <si>
    <t>Красноармейская, ул., д.6</t>
  </si>
  <si>
    <t>Ленина, ул., д. 115</t>
  </si>
  <si>
    <t>Ленина, ул., д. 121</t>
  </si>
  <si>
    <t>Ленина, ул., д. 117</t>
  </si>
  <si>
    <t>Ленина, ул., д. 24</t>
  </si>
  <si>
    <t>Ленина, ул., д. 26</t>
  </si>
  <si>
    <t>Ленина, ул., д. 32</t>
  </si>
  <si>
    <t>Ленина, ул., д. 4</t>
  </si>
  <si>
    <t>Ленина, ул., д. 5</t>
  </si>
  <si>
    <t>Ленина, ул., д. 6а</t>
  </si>
  <si>
    <t>1 пер. К. Маркса, ул., д. 7</t>
  </si>
  <si>
    <t>Ш пер. К. Маркса, ул., д.3</t>
  </si>
  <si>
    <t>К. Маркса, ул., д.100</t>
  </si>
  <si>
    <t>К. Маркса, ул., д.102</t>
  </si>
  <si>
    <t>К. Маркса, ул., д.154</t>
  </si>
  <si>
    <t>К. Маркса, ул., д.159</t>
  </si>
  <si>
    <t>К. Маркса, ул., д.62</t>
  </si>
  <si>
    <t>К. Маркса, ул., д. 74</t>
  </si>
  <si>
    <t>К. Маркса, ул., д. 78</t>
  </si>
  <si>
    <t>К. Маркса, ул., д. 89</t>
  </si>
  <si>
    <t>К. Маркса, ул., д. 91</t>
  </si>
  <si>
    <t>К. Маркса, ул., д. 93</t>
  </si>
  <si>
    <t>Маяковского, ул., д. 309</t>
  </si>
  <si>
    <t>Некрасова,пер., д. 4</t>
  </si>
  <si>
    <t>Некрасова, ул., д. 9</t>
  </si>
  <si>
    <t>Новая, ул., д.24</t>
  </si>
  <si>
    <t>Опытная станция, д. 18</t>
  </si>
  <si>
    <t>Опытная станция, д. 19</t>
  </si>
  <si>
    <t>Опытная станция, д. 20</t>
  </si>
  <si>
    <t>Опытная станция, д. 2</t>
  </si>
  <si>
    <t>Опытная станция, д. 3</t>
  </si>
  <si>
    <t>Опытная станция, д. 4</t>
  </si>
  <si>
    <t>Опытная станция, д. 6</t>
  </si>
  <si>
    <t>Опытная станция, д. 7</t>
  </si>
  <si>
    <t>Опытная станция, д. 8</t>
  </si>
  <si>
    <t>Папанина, ул., д.1а</t>
  </si>
  <si>
    <t>Победы, пл., д. 13</t>
  </si>
  <si>
    <t>Победы, пл., д. 75</t>
  </si>
  <si>
    <t>Победы, пл., д. 77</t>
  </si>
  <si>
    <t>Победы, пл., д. 79</t>
  </si>
  <si>
    <t>Пролетарская, ул., д. 54</t>
  </si>
  <si>
    <t>Ст. Разина,ул., д. 49</t>
  </si>
  <si>
    <t>Ст. Разина,ул., д. 50</t>
  </si>
  <si>
    <t>Ст. Разина,ул., д. 52</t>
  </si>
  <si>
    <t>Республиканская, ул., д. 15а</t>
  </si>
  <si>
    <t>Республиканская, ул., д. 67</t>
  </si>
  <si>
    <t>Республиканская, ул., д. 69</t>
  </si>
  <si>
    <t>Республиканская, ул., д. 71а</t>
  </si>
  <si>
    <t>Республиканская, ул., д. 78</t>
  </si>
  <si>
    <t>Республиканская, ул., д. 82</t>
  </si>
  <si>
    <t>Ст. Большевиков, ул., д.17</t>
  </si>
  <si>
    <t>Урицкого, ул., д. 2а</t>
  </si>
  <si>
    <t>Урицкого, ул., д. 3</t>
  </si>
  <si>
    <t>Урицкого, ул., д. 31</t>
  </si>
  <si>
    <t>Урицкого, ул., д. 35</t>
  </si>
  <si>
    <t>Чкалова, пер., д. 9</t>
  </si>
  <si>
    <t>Чкалова, ул., д. 49</t>
  </si>
  <si>
    <t>Чкалова, ул., д. 6</t>
  </si>
  <si>
    <t>Ф. Энгельса, ул., д. 35</t>
  </si>
  <si>
    <t>Ф. Энгельса, ул., д. 8</t>
  </si>
  <si>
    <t>Свердлова ул., д. 6</t>
  </si>
  <si>
    <t>Ющенко, ул., д. 110</t>
  </si>
  <si>
    <t>Ющенко, ул., д. 112</t>
  </si>
  <si>
    <t>10095, 48</t>
  </si>
  <si>
    <t>Ольминского, пос., 1</t>
  </si>
  <si>
    <t>Ольминского, пос., д.2</t>
  </si>
  <si>
    <t>Привокзальная, ул., д. 28</t>
  </si>
  <si>
    <t>Привокзальная, ул., д. 30</t>
  </si>
  <si>
    <t>Привокзальная, ул., д. 4</t>
  </si>
  <si>
    <t>Пушкина ул.,д.  41</t>
  </si>
  <si>
    <t>Пушкина ул., д. 43</t>
  </si>
  <si>
    <t>Пушкина ул., д. 45</t>
  </si>
  <si>
    <t>Революционная ул., д. 38</t>
  </si>
  <si>
    <t>Привокзальный туп., 2</t>
  </si>
  <si>
    <t>Свердлова ул., д. 22а</t>
  </si>
  <si>
    <t>(+) - остаток; (-) - перерасход по состоянию на 01.01.2010 г.</t>
  </si>
  <si>
    <t>Итого: (+) - остаток; (-) - перерасход по состоянию на 01.01.2011 г.</t>
  </si>
  <si>
    <t xml:space="preserve"> </t>
  </si>
  <si>
    <t>(+) - остаток; (-) - перерасход по состоянию на 01.01.2011 г.</t>
  </si>
  <si>
    <t>оплачена электроэнергия населением в 2010 году</t>
  </si>
  <si>
    <t>оплачена электроэнергия населением в 2009 году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</si>
</sst>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;[Red]\-0.00"/>
  </numFmts>
  <fonts count="21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24" borderId="10" xfId="0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24" borderId="10" xfId="0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right" wrapText="1"/>
    </xf>
    <xf numFmtId="0" fontId="20" fillId="0" borderId="10" xfId="0" applyFont="1" applyBorder="1" applyAlignment="1">
      <alignment horizontal="right"/>
    </xf>
    <xf numFmtId="0" fontId="1" fillId="24" borderId="11" xfId="0" applyFont="1" applyFill="1" applyBorder="1" applyAlignment="1">
      <alignment horizontal="center" wrapText="1"/>
    </xf>
    <xf numFmtId="1" fontId="0" fillId="24" borderId="10" xfId="0" applyNumberFormat="1" applyFill="1" applyBorder="1" applyAlignment="1">
      <alignment wrapText="1"/>
    </xf>
    <xf numFmtId="0" fontId="1" fillId="24" borderId="12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1" fillId="24" borderId="16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523875</xdr:colOff>
      <xdr:row>6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7049750" y="259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23</xdr:col>
      <xdr:colOff>523875</xdr:colOff>
      <xdr:row>48</xdr:row>
      <xdr:rowOff>133350</xdr:rowOff>
    </xdr:from>
    <xdr:ext cx="76200" cy="400050"/>
    <xdr:sp>
      <xdr:nvSpPr>
        <xdr:cNvPr id="2" name="Text Box 1"/>
        <xdr:cNvSpPr txBox="1">
          <a:spLocks noChangeArrowheads="1"/>
        </xdr:cNvSpPr>
      </xdr:nvSpPr>
      <xdr:spPr>
        <a:xfrm>
          <a:off x="17049750" y="104965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4"/>
  <sheetViews>
    <sheetView tabSelected="1" view="pageBreakPreview" zoomScaleSheetLayoutView="100" workbookViewId="0" topLeftCell="A4">
      <pane xSplit="2" ySplit="2" topLeftCell="J150" activePane="bottomRight" state="frozen"/>
      <selection pane="topLeft" activeCell="A4" sqref="A4"/>
      <selection pane="topRight" activeCell="C4" sqref="C4"/>
      <selection pane="bottomLeft" activeCell="A6" sqref="A6"/>
      <selection pane="bottomRight" activeCell="Q172" sqref="Q172"/>
    </sheetView>
  </sheetViews>
  <sheetFormatPr defaultColWidth="9.33203125" defaultRowHeight="12.75"/>
  <cols>
    <col min="1" max="1" width="6.5" style="0" customWidth="1"/>
    <col min="2" max="2" width="24.33203125" style="0" customWidth="1"/>
    <col min="3" max="3" width="10" style="0" customWidth="1"/>
    <col min="4" max="4" width="9.66015625" style="0" customWidth="1"/>
    <col min="5" max="6" width="12" style="0" customWidth="1"/>
    <col min="7" max="7" width="9.5" style="0" customWidth="1"/>
    <col min="8" max="8" width="16.5" style="0" customWidth="1"/>
    <col min="9" max="9" width="12" style="0" customWidth="1"/>
    <col min="10" max="10" width="9.5" style="0" customWidth="1"/>
    <col min="11" max="13" width="12" style="0" customWidth="1"/>
    <col min="14" max="14" width="16.83203125" style="0" customWidth="1"/>
    <col min="15" max="15" width="12" style="0" customWidth="1"/>
    <col min="16" max="16" width="12.16015625" style="0" customWidth="1"/>
    <col min="17" max="17" width="12" style="0" customWidth="1"/>
    <col min="18" max="18" width="16.66015625" style="0" customWidth="1"/>
    <col min="19" max="19" width="12" style="0" customWidth="1"/>
    <col min="20" max="20" width="9.66015625" style="0" customWidth="1"/>
    <col min="21" max="21" width="11.5" style="0" customWidth="1"/>
    <col min="22" max="22" width="16.33203125" style="0" customWidth="1"/>
    <col min="23" max="23" width="12" style="0" customWidth="1"/>
    <col min="24" max="24" width="11.5" style="0" customWidth="1"/>
    <col min="25" max="25" width="12.33203125" style="0" customWidth="1"/>
    <col min="26" max="26" width="13.16015625" style="0" customWidth="1"/>
    <col min="27" max="27" width="26.5" style="0" customWidth="1"/>
  </cols>
  <sheetData>
    <row r="1" spans="1:27" s="3" customFormat="1" ht="32.25" customHeight="1">
      <c r="A1" s="22" t="s">
        <v>4</v>
      </c>
      <c r="B1" s="22"/>
      <c r="C1" s="22"/>
      <c r="D1" s="22"/>
      <c r="E1" s="22"/>
      <c r="F1" s="22"/>
      <c r="G1" s="22"/>
      <c r="H1" s="2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s="3" customFormat="1" ht="3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3" customFormat="1" ht="32.25" customHeight="1">
      <c r="A3" s="18" t="s">
        <v>1</v>
      </c>
      <c r="B3" s="18"/>
      <c r="C3" s="15" t="s">
        <v>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5" t="s">
        <v>12</v>
      </c>
      <c r="P3" s="16"/>
      <c r="Q3" s="16"/>
      <c r="R3" s="16"/>
      <c r="S3" s="16"/>
      <c r="T3" s="16"/>
      <c r="U3" s="16"/>
      <c r="V3" s="17"/>
      <c r="W3" s="18" t="s">
        <v>14</v>
      </c>
      <c r="X3" s="18" t="s">
        <v>15</v>
      </c>
      <c r="Y3" s="13"/>
      <c r="Z3" s="13"/>
      <c r="AA3" s="18" t="s">
        <v>200</v>
      </c>
    </row>
    <row r="4" spans="1:27" s="3" customFormat="1" ht="32.25" customHeight="1">
      <c r="A4" s="19"/>
      <c r="B4" s="19"/>
      <c r="C4" s="15" t="s">
        <v>10</v>
      </c>
      <c r="D4" s="16"/>
      <c r="E4" s="16"/>
      <c r="F4" s="16"/>
      <c r="G4" s="16"/>
      <c r="H4" s="17"/>
      <c r="I4" s="15" t="s">
        <v>11</v>
      </c>
      <c r="J4" s="16"/>
      <c r="K4" s="16"/>
      <c r="L4" s="16"/>
      <c r="M4" s="16"/>
      <c r="N4" s="17"/>
      <c r="O4" s="21" t="s">
        <v>10</v>
      </c>
      <c r="P4" s="21"/>
      <c r="Q4" s="21"/>
      <c r="R4" s="21"/>
      <c r="S4" s="21" t="s">
        <v>11</v>
      </c>
      <c r="T4" s="21"/>
      <c r="U4" s="21"/>
      <c r="V4" s="21"/>
      <c r="W4" s="19"/>
      <c r="X4" s="19"/>
      <c r="Y4" s="19" t="s">
        <v>204</v>
      </c>
      <c r="Z4" s="19" t="s">
        <v>203</v>
      </c>
      <c r="AA4" s="19"/>
    </row>
    <row r="5" spans="1:27" s="3" customFormat="1" ht="32.25" customHeight="1">
      <c r="A5" s="19"/>
      <c r="B5" s="19"/>
      <c r="C5" s="15" t="s">
        <v>5</v>
      </c>
      <c r="D5" s="17"/>
      <c r="E5" s="15" t="s">
        <v>6</v>
      </c>
      <c r="F5" s="17"/>
      <c r="G5" s="18" t="s">
        <v>9</v>
      </c>
      <c r="H5" s="18" t="s">
        <v>199</v>
      </c>
      <c r="I5" s="15" t="s">
        <v>5</v>
      </c>
      <c r="J5" s="17"/>
      <c r="K5" s="15" t="s">
        <v>6</v>
      </c>
      <c r="L5" s="17"/>
      <c r="M5" s="18" t="s">
        <v>9</v>
      </c>
      <c r="N5" s="18" t="s">
        <v>202</v>
      </c>
      <c r="O5" s="21" t="s">
        <v>5</v>
      </c>
      <c r="P5" s="21" t="s">
        <v>6</v>
      </c>
      <c r="Q5" s="21" t="s">
        <v>13</v>
      </c>
      <c r="R5" s="21" t="s">
        <v>199</v>
      </c>
      <c r="S5" s="21" t="s">
        <v>5</v>
      </c>
      <c r="T5" s="21" t="s">
        <v>6</v>
      </c>
      <c r="U5" s="21" t="s">
        <v>13</v>
      </c>
      <c r="V5" s="21" t="s">
        <v>202</v>
      </c>
      <c r="W5" s="19"/>
      <c r="X5" s="19"/>
      <c r="Y5" s="19"/>
      <c r="Z5" s="19"/>
      <c r="AA5" s="19"/>
    </row>
    <row r="6" spans="1:27" s="3" customFormat="1" ht="42.75" customHeight="1">
      <c r="A6" s="20"/>
      <c r="B6" s="20"/>
      <c r="C6" s="6" t="s">
        <v>7</v>
      </c>
      <c r="D6" s="6" t="s">
        <v>8</v>
      </c>
      <c r="E6" s="6" t="s">
        <v>7</v>
      </c>
      <c r="F6" s="6" t="s">
        <v>8</v>
      </c>
      <c r="G6" s="20"/>
      <c r="H6" s="20"/>
      <c r="I6" s="6" t="s">
        <v>7</v>
      </c>
      <c r="J6" s="6" t="s">
        <v>8</v>
      </c>
      <c r="K6" s="6" t="s">
        <v>7</v>
      </c>
      <c r="L6" s="6" t="s">
        <v>8</v>
      </c>
      <c r="M6" s="20"/>
      <c r="N6" s="20"/>
      <c r="O6" s="21"/>
      <c r="P6" s="21"/>
      <c r="Q6" s="21"/>
      <c r="R6" s="21"/>
      <c r="S6" s="21"/>
      <c r="T6" s="21"/>
      <c r="U6" s="21"/>
      <c r="V6" s="21"/>
      <c r="W6" s="20"/>
      <c r="X6" s="20"/>
      <c r="Y6" s="20"/>
      <c r="Z6" s="20"/>
      <c r="AA6" s="20"/>
    </row>
    <row r="7" spans="1:27" s="1" customFormat="1" ht="12.75">
      <c r="A7" s="5">
        <v>1</v>
      </c>
      <c r="B7" s="5" t="s">
        <v>117</v>
      </c>
      <c r="C7" s="5">
        <v>3422.31</v>
      </c>
      <c r="D7" s="5">
        <v>547.08</v>
      </c>
      <c r="E7" s="5">
        <v>3898.77</v>
      </c>
      <c r="F7" s="5">
        <v>45.59</v>
      </c>
      <c r="G7" s="5">
        <v>27075</v>
      </c>
      <c r="H7" s="5">
        <f>E7+F7-G7</f>
        <v>-23130.64</v>
      </c>
      <c r="I7" s="12">
        <v>3533.76</v>
      </c>
      <c r="J7" s="12">
        <v>565.92</v>
      </c>
      <c r="K7" s="12">
        <v>3578.88</v>
      </c>
      <c r="L7" s="12">
        <v>1193.13</v>
      </c>
      <c r="M7" s="5">
        <v>0</v>
      </c>
      <c r="N7" s="5">
        <f>K7+L7-M7</f>
        <v>4772.01</v>
      </c>
      <c r="O7" s="5">
        <v>5714.78</v>
      </c>
      <c r="P7" s="5">
        <v>5560.09</v>
      </c>
      <c r="Q7" s="5">
        <v>0</v>
      </c>
      <c r="R7" s="5">
        <f>P7-Q7</f>
        <v>5560.09</v>
      </c>
      <c r="S7" s="12">
        <v>5910.48</v>
      </c>
      <c r="T7" s="12">
        <v>6847.06</v>
      </c>
      <c r="U7" s="5">
        <v>0</v>
      </c>
      <c r="V7" s="5">
        <f>T7-U7</f>
        <v>6847.06</v>
      </c>
      <c r="W7" s="5">
        <v>6966.02</v>
      </c>
      <c r="X7" s="5">
        <f>464.92+4092.24</f>
        <v>4557.16</v>
      </c>
      <c r="Y7" s="5"/>
      <c r="Z7" s="12">
        <v>458.32</v>
      </c>
      <c r="AA7" s="14">
        <f>H7+N7+R7+V7-W7-X7+Y7+Z7</f>
        <v>-17016.339999999997</v>
      </c>
    </row>
    <row r="8" spans="1:27" s="1" customFormat="1" ht="12.75">
      <c r="A8" s="5">
        <f>A7+1</f>
        <v>2</v>
      </c>
      <c r="B8" s="5" t="s">
        <v>116</v>
      </c>
      <c r="C8" s="5">
        <v>899.88</v>
      </c>
      <c r="D8" s="5">
        <v>894.48</v>
      </c>
      <c r="E8" s="5">
        <v>899.88</v>
      </c>
      <c r="F8" s="5">
        <v>1232.1</v>
      </c>
      <c r="G8" s="5">
        <v>0</v>
      </c>
      <c r="H8" s="5">
        <f>E8+F8-G8</f>
        <v>2131.98</v>
      </c>
      <c r="I8" s="12">
        <v>775.8</v>
      </c>
      <c r="J8" s="12">
        <v>769.4</v>
      </c>
      <c r="K8" s="12">
        <v>798.84</v>
      </c>
      <c r="L8" s="12">
        <v>340.78</v>
      </c>
      <c r="M8" s="5">
        <v>0</v>
      </c>
      <c r="N8" s="5">
        <f aca="true" t="shared" si="0" ref="N8:N71">K8+L8-M8</f>
        <v>1139.62</v>
      </c>
      <c r="O8" s="5">
        <v>2643.36</v>
      </c>
      <c r="P8" s="5">
        <v>3175.14</v>
      </c>
      <c r="Q8" s="5">
        <v>0</v>
      </c>
      <c r="R8" s="5">
        <f aca="true" t="shared" si="1" ref="R8:R73">P8-Q8</f>
        <v>3175.14</v>
      </c>
      <c r="S8" s="12">
        <v>2281.8</v>
      </c>
      <c r="T8" s="12">
        <v>1830.21</v>
      </c>
      <c r="U8" s="5">
        <v>565</v>
      </c>
      <c r="V8" s="5">
        <f aca="true" t="shared" si="2" ref="V8:V71">T8-U8</f>
        <v>1265.21</v>
      </c>
      <c r="W8" s="5"/>
      <c r="X8" s="5"/>
      <c r="Y8" s="5"/>
      <c r="Z8" s="5"/>
      <c r="AA8" s="14">
        <f aca="true" t="shared" si="3" ref="AA8:AA71">H8+N8+R8+V8-W8-X8+Y8+Z8</f>
        <v>7711.95</v>
      </c>
    </row>
    <row r="9" spans="1:27" s="1" customFormat="1" ht="12.75">
      <c r="A9" s="5">
        <f aca="true" t="shared" si="4" ref="A9:A75">A8+1</f>
        <v>3</v>
      </c>
      <c r="B9" s="5" t="s">
        <v>118</v>
      </c>
      <c r="C9" s="5">
        <v>508.08</v>
      </c>
      <c r="D9" s="5">
        <v>471.84</v>
      </c>
      <c r="E9" s="5">
        <v>423.4</v>
      </c>
      <c r="F9" s="5">
        <v>514.22</v>
      </c>
      <c r="G9" s="5">
        <v>0</v>
      </c>
      <c r="H9" s="5">
        <f>E9+F9-G9</f>
        <v>937.62</v>
      </c>
      <c r="I9" s="12">
        <v>219</v>
      </c>
      <c r="J9" s="12">
        <v>203.4</v>
      </c>
      <c r="K9" s="12">
        <v>347.48</v>
      </c>
      <c r="L9" s="12">
        <v>242.72</v>
      </c>
      <c r="M9" s="5">
        <v>0</v>
      </c>
      <c r="N9" s="5">
        <f t="shared" si="0"/>
        <v>590.2</v>
      </c>
      <c r="O9" s="5">
        <v>1410.84</v>
      </c>
      <c r="P9" s="5">
        <v>1175.7</v>
      </c>
      <c r="Q9" s="5">
        <v>0</v>
      </c>
      <c r="R9" s="5">
        <f t="shared" si="1"/>
        <v>1175.7</v>
      </c>
      <c r="S9" s="12">
        <v>609</v>
      </c>
      <c r="T9" s="12">
        <v>850.68</v>
      </c>
      <c r="U9" s="5">
        <v>0</v>
      </c>
      <c r="V9" s="5">
        <f t="shared" si="2"/>
        <v>850.68</v>
      </c>
      <c r="W9" s="5"/>
      <c r="X9" s="5"/>
      <c r="Y9" s="5"/>
      <c r="Z9" s="5"/>
      <c r="AA9" s="14">
        <f t="shared" si="3"/>
        <v>3554.2000000000003</v>
      </c>
    </row>
    <row r="10" spans="1:27" s="1" customFormat="1" ht="12.75">
      <c r="A10" s="5">
        <f t="shared" si="4"/>
        <v>4</v>
      </c>
      <c r="B10" s="5" t="s">
        <v>119</v>
      </c>
      <c r="C10" s="5">
        <v>2248.08</v>
      </c>
      <c r="D10" s="5">
        <v>1554.84</v>
      </c>
      <c r="E10" s="5">
        <v>1667.09</v>
      </c>
      <c r="F10" s="5">
        <v>1522.71</v>
      </c>
      <c r="G10" s="5">
        <v>15281</v>
      </c>
      <c r="H10" s="5">
        <f>E10+F10-G10</f>
        <v>-12091.2</v>
      </c>
      <c r="I10" s="12">
        <v>2876.04</v>
      </c>
      <c r="J10" s="12">
        <v>1063.32</v>
      </c>
      <c r="K10" s="12">
        <v>1986.3</v>
      </c>
      <c r="L10" s="12">
        <v>1095.45</v>
      </c>
      <c r="M10" s="5">
        <v>0</v>
      </c>
      <c r="N10" s="5">
        <f t="shared" si="0"/>
        <v>3081.75</v>
      </c>
      <c r="O10" s="5">
        <v>5475</v>
      </c>
      <c r="P10" s="5">
        <v>4605.75</v>
      </c>
      <c r="Q10" s="5">
        <v>5986</v>
      </c>
      <c r="R10" s="5">
        <f t="shared" si="1"/>
        <v>-1380.25</v>
      </c>
      <c r="S10" s="12">
        <v>5679.15</v>
      </c>
      <c r="T10" s="12">
        <v>4379.89</v>
      </c>
      <c r="U10" s="5">
        <v>8942</v>
      </c>
      <c r="V10" s="5">
        <f t="shared" si="2"/>
        <v>-4562.11</v>
      </c>
      <c r="W10" s="5">
        <f>6966.02+1775.91</f>
        <v>8741.93</v>
      </c>
      <c r="X10" s="5">
        <f>1132.8+4587.84</f>
        <v>5720.64</v>
      </c>
      <c r="Y10" s="5"/>
      <c r="Z10" s="12">
        <v>512.67</v>
      </c>
      <c r="AA10" s="14">
        <f t="shared" si="3"/>
        <v>-28901.710000000003</v>
      </c>
    </row>
    <row r="11" spans="1:27" s="1" customFormat="1" ht="12.75">
      <c r="A11" s="5">
        <f t="shared" si="4"/>
        <v>5</v>
      </c>
      <c r="B11" s="5" t="s">
        <v>120</v>
      </c>
      <c r="C11" s="5">
        <v>1422.6</v>
      </c>
      <c r="D11" s="5">
        <v>851.88</v>
      </c>
      <c r="E11" s="5">
        <v>958.15</v>
      </c>
      <c r="F11" s="5">
        <v>496.93</v>
      </c>
      <c r="G11" s="5">
        <v>0</v>
      </c>
      <c r="H11" s="5">
        <f aca="true" t="shared" si="5" ref="H11:H23">E11+F11-G11</f>
        <v>1455.08</v>
      </c>
      <c r="I11" s="12">
        <v>613.2</v>
      </c>
      <c r="J11" s="12">
        <v>367.2</v>
      </c>
      <c r="K11" s="12">
        <v>375.9</v>
      </c>
      <c r="L11" s="12">
        <v>722.15</v>
      </c>
      <c r="M11" s="5">
        <v>0</v>
      </c>
      <c r="N11" s="5">
        <f t="shared" si="0"/>
        <v>1098.05</v>
      </c>
      <c r="O11" s="5">
        <v>3274.56</v>
      </c>
      <c r="P11" s="5">
        <v>1762.88</v>
      </c>
      <c r="Q11" s="5">
        <v>8776</v>
      </c>
      <c r="R11" s="5">
        <f t="shared" si="1"/>
        <v>-7013.12</v>
      </c>
      <c r="S11" s="12">
        <v>1413.45</v>
      </c>
      <c r="T11" s="12">
        <v>1582.23</v>
      </c>
      <c r="U11" s="5">
        <v>1493</v>
      </c>
      <c r="V11" s="5">
        <f t="shared" si="2"/>
        <v>89.23000000000002</v>
      </c>
      <c r="W11" s="5"/>
      <c r="X11" s="5"/>
      <c r="Y11" s="5"/>
      <c r="Z11" s="5"/>
      <c r="AA11" s="14">
        <f t="shared" si="3"/>
        <v>-4370.76</v>
      </c>
    </row>
    <row r="12" spans="1:27" s="1" customFormat="1" ht="25.5">
      <c r="A12" s="5">
        <f t="shared" si="4"/>
        <v>6</v>
      </c>
      <c r="B12" s="5" t="s">
        <v>121</v>
      </c>
      <c r="C12" s="5">
        <v>1506.12</v>
      </c>
      <c r="D12" s="5">
        <v>556.8</v>
      </c>
      <c r="E12" s="5">
        <v>1506.12</v>
      </c>
      <c r="F12" s="5">
        <v>348</v>
      </c>
      <c r="G12" s="5">
        <v>0</v>
      </c>
      <c r="H12" s="5">
        <f t="shared" si="5"/>
        <v>1854.12</v>
      </c>
      <c r="I12" s="12">
        <v>889.2</v>
      </c>
      <c r="J12" s="12">
        <v>0</v>
      </c>
      <c r="K12" s="12">
        <v>745.2</v>
      </c>
      <c r="L12" s="12">
        <v>208.8</v>
      </c>
      <c r="M12" s="5">
        <v>0</v>
      </c>
      <c r="N12" s="5">
        <f t="shared" si="0"/>
        <v>954</v>
      </c>
      <c r="O12" s="5">
        <v>2969.88</v>
      </c>
      <c r="P12" s="5">
        <v>2969.88</v>
      </c>
      <c r="Q12" s="5">
        <v>0</v>
      </c>
      <c r="R12" s="5">
        <f t="shared" si="1"/>
        <v>2969.88</v>
      </c>
      <c r="S12" s="12">
        <v>1281.95</v>
      </c>
      <c r="T12" s="12">
        <v>1074.35</v>
      </c>
      <c r="U12" s="5">
        <v>0</v>
      </c>
      <c r="V12" s="5">
        <f t="shared" si="2"/>
        <v>1074.35</v>
      </c>
      <c r="W12" s="5"/>
      <c r="X12" s="5"/>
      <c r="Y12" s="5"/>
      <c r="Z12" s="5"/>
      <c r="AA12" s="14">
        <f t="shared" si="3"/>
        <v>6852.35</v>
      </c>
    </row>
    <row r="13" spans="1:27" s="1" customFormat="1" ht="25.5">
      <c r="A13" s="5">
        <f t="shared" si="4"/>
        <v>7</v>
      </c>
      <c r="B13" s="5" t="s">
        <v>122</v>
      </c>
      <c r="C13" s="7">
        <v>810.12</v>
      </c>
      <c r="D13" s="5">
        <v>657</v>
      </c>
      <c r="E13" s="5">
        <v>0</v>
      </c>
      <c r="F13" s="5">
        <v>657</v>
      </c>
      <c r="G13" s="5">
        <v>0</v>
      </c>
      <c r="H13" s="5">
        <f t="shared" si="5"/>
        <v>657</v>
      </c>
      <c r="I13" s="12">
        <v>349.2</v>
      </c>
      <c r="J13" s="12">
        <v>283.2</v>
      </c>
      <c r="K13" s="12">
        <v>0</v>
      </c>
      <c r="L13" s="12">
        <v>283.2</v>
      </c>
      <c r="M13" s="5">
        <v>0</v>
      </c>
      <c r="N13" s="5">
        <f t="shared" si="0"/>
        <v>283.2</v>
      </c>
      <c r="O13" s="5">
        <v>2112.12</v>
      </c>
      <c r="P13" s="5">
        <v>945.84</v>
      </c>
      <c r="Q13" s="5">
        <v>0</v>
      </c>
      <c r="R13" s="5">
        <f t="shared" si="1"/>
        <v>945.84</v>
      </c>
      <c r="S13" s="12">
        <v>911.75</v>
      </c>
      <c r="T13" s="12">
        <v>408.3</v>
      </c>
      <c r="U13" s="5">
        <v>0</v>
      </c>
      <c r="V13" s="5">
        <f t="shared" si="2"/>
        <v>408.3</v>
      </c>
      <c r="W13" s="5"/>
      <c r="X13" s="5"/>
      <c r="Y13" s="5"/>
      <c r="Z13" s="5"/>
      <c r="AA13" s="14">
        <f t="shared" si="3"/>
        <v>2294.34</v>
      </c>
    </row>
    <row r="14" spans="1:27" ht="25.5">
      <c r="A14" s="5">
        <f t="shared" si="4"/>
        <v>8</v>
      </c>
      <c r="B14" s="5" t="s">
        <v>123</v>
      </c>
      <c r="C14" s="5">
        <v>11334.28</v>
      </c>
      <c r="D14" s="5">
        <v>4954.07</v>
      </c>
      <c r="E14" s="5">
        <v>10977.89</v>
      </c>
      <c r="F14" s="5">
        <v>4914.05</v>
      </c>
      <c r="G14" s="5">
        <v>0</v>
      </c>
      <c r="H14" s="5">
        <f t="shared" si="5"/>
        <v>15891.939999999999</v>
      </c>
      <c r="I14" s="12">
        <v>14305.95</v>
      </c>
      <c r="J14" s="12">
        <v>2574</v>
      </c>
      <c r="K14" s="12">
        <v>13343.11</v>
      </c>
      <c r="L14" s="12">
        <v>2619.12</v>
      </c>
      <c r="M14" s="5">
        <v>0</v>
      </c>
      <c r="N14" s="5">
        <f t="shared" si="0"/>
        <v>15962.23</v>
      </c>
      <c r="O14" s="5">
        <v>19770.41</v>
      </c>
      <c r="P14" s="5">
        <v>19559.3</v>
      </c>
      <c r="Q14" s="5">
        <v>7591</v>
      </c>
      <c r="R14" s="5">
        <f t="shared" si="1"/>
        <v>11968.3</v>
      </c>
      <c r="S14" s="12">
        <v>20481.2</v>
      </c>
      <c r="T14" s="12">
        <v>19283.44</v>
      </c>
      <c r="U14" s="5">
        <v>3436</v>
      </c>
      <c r="V14" s="5">
        <f t="shared" si="2"/>
        <v>15847.439999999999</v>
      </c>
      <c r="W14" s="5">
        <f>395.6+5523.37</f>
        <v>5918.97</v>
      </c>
      <c r="X14" s="5">
        <f>887.36+2853.24</f>
        <v>3740.6</v>
      </c>
      <c r="Y14" s="5"/>
      <c r="Z14" s="12">
        <v>1056.81</v>
      </c>
      <c r="AA14" s="14">
        <f t="shared" si="3"/>
        <v>51067.15</v>
      </c>
    </row>
    <row r="15" spans="1:27" ht="25.5">
      <c r="A15" s="5">
        <f t="shared" si="4"/>
        <v>9</v>
      </c>
      <c r="B15" s="5" t="s">
        <v>124</v>
      </c>
      <c r="C15" s="5">
        <v>13124.88</v>
      </c>
      <c r="D15" s="5">
        <v>3087</v>
      </c>
      <c r="E15" s="5">
        <v>12832.02</v>
      </c>
      <c r="F15" s="5">
        <v>2498.38</v>
      </c>
      <c r="G15" s="5">
        <v>0</v>
      </c>
      <c r="H15" s="5">
        <f t="shared" si="5"/>
        <v>15330.400000000001</v>
      </c>
      <c r="I15" s="12">
        <v>13582.8</v>
      </c>
      <c r="J15" s="12">
        <v>3193.2</v>
      </c>
      <c r="K15" s="12">
        <v>14265.31</v>
      </c>
      <c r="L15" s="12">
        <v>2716.22</v>
      </c>
      <c r="M15" s="5">
        <v>0</v>
      </c>
      <c r="N15" s="5">
        <f t="shared" si="0"/>
        <v>16981.53</v>
      </c>
      <c r="O15" s="5">
        <v>19676.92</v>
      </c>
      <c r="P15" s="5">
        <v>18408.51</v>
      </c>
      <c r="Q15" s="5">
        <v>9765</v>
      </c>
      <c r="R15" s="5">
        <f t="shared" si="1"/>
        <v>8643.509999999998</v>
      </c>
      <c r="S15" s="12">
        <v>20354.52</v>
      </c>
      <c r="T15" s="12">
        <v>20912.25</v>
      </c>
      <c r="U15" s="5">
        <v>16915</v>
      </c>
      <c r="V15" s="5">
        <f t="shared" si="2"/>
        <v>3997.25</v>
      </c>
      <c r="W15" s="5">
        <f>862.15+5566.37</f>
        <v>6428.5199999999995</v>
      </c>
      <c r="X15" s="5">
        <v>8573.88</v>
      </c>
      <c r="Y15" s="5"/>
      <c r="Z15" s="12">
        <v>2910.88</v>
      </c>
      <c r="AA15" s="14">
        <f t="shared" si="3"/>
        <v>32861.170000000006</v>
      </c>
    </row>
    <row r="16" spans="1:27" s="1" customFormat="1" ht="12.75">
      <c r="A16" s="5">
        <f t="shared" si="4"/>
        <v>10</v>
      </c>
      <c r="B16" s="5" t="s">
        <v>125</v>
      </c>
      <c r="C16" s="5">
        <v>620.88</v>
      </c>
      <c r="D16" s="5">
        <v>321.6</v>
      </c>
      <c r="E16" s="5">
        <v>569.14</v>
      </c>
      <c r="F16" s="5">
        <v>348.4</v>
      </c>
      <c r="G16" s="5">
        <v>0</v>
      </c>
      <c r="H16" s="5">
        <f t="shared" si="5"/>
        <v>917.54</v>
      </c>
      <c r="I16" s="12">
        <v>267.6</v>
      </c>
      <c r="J16" s="12">
        <v>138.6</v>
      </c>
      <c r="K16" s="12">
        <v>319.34</v>
      </c>
      <c r="L16" s="12">
        <v>111.8</v>
      </c>
      <c r="M16" s="5">
        <v>0</v>
      </c>
      <c r="N16" s="5">
        <f t="shared" si="0"/>
        <v>431.14</v>
      </c>
      <c r="O16" s="5">
        <v>1356.72</v>
      </c>
      <c r="P16" s="5">
        <v>1320.82</v>
      </c>
      <c r="Q16" s="5">
        <v>0</v>
      </c>
      <c r="R16" s="5">
        <f t="shared" si="1"/>
        <v>1320.82</v>
      </c>
      <c r="S16" s="12">
        <v>585.6</v>
      </c>
      <c r="T16" s="12">
        <v>621.5</v>
      </c>
      <c r="U16" s="5">
        <v>0</v>
      </c>
      <c r="V16" s="5">
        <f t="shared" si="2"/>
        <v>621.5</v>
      </c>
      <c r="W16" s="5"/>
      <c r="X16" s="5"/>
      <c r="Y16" s="5"/>
      <c r="Z16" s="5"/>
      <c r="AA16" s="14">
        <f t="shared" si="3"/>
        <v>3291</v>
      </c>
    </row>
    <row r="17" spans="1:27" s="1" customFormat="1" ht="12.75">
      <c r="A17" s="5">
        <f>A16+1</f>
        <v>11</v>
      </c>
      <c r="B17" s="5" t="s">
        <v>127</v>
      </c>
      <c r="C17" s="5">
        <v>1371.12</v>
      </c>
      <c r="D17" s="5">
        <v>0</v>
      </c>
      <c r="E17" s="5">
        <v>1332.92</v>
      </c>
      <c r="F17" s="5">
        <v>0</v>
      </c>
      <c r="G17" s="5">
        <v>0</v>
      </c>
      <c r="H17" s="5">
        <f>E17+F17-G17</f>
        <v>1332.92</v>
      </c>
      <c r="I17" s="12">
        <v>591</v>
      </c>
      <c r="J17" s="5">
        <v>0</v>
      </c>
      <c r="K17" s="12">
        <v>730.7</v>
      </c>
      <c r="L17" s="5">
        <v>0</v>
      </c>
      <c r="M17" s="5">
        <v>0</v>
      </c>
      <c r="N17" s="5">
        <f t="shared" si="0"/>
        <v>730.7</v>
      </c>
      <c r="O17" s="5">
        <v>1973.88</v>
      </c>
      <c r="P17" s="5">
        <v>1933.26</v>
      </c>
      <c r="Q17" s="5">
        <v>0</v>
      </c>
      <c r="R17" s="5">
        <f t="shared" si="1"/>
        <v>1933.26</v>
      </c>
      <c r="S17" s="12">
        <v>852.05</v>
      </c>
      <c r="T17" s="12">
        <v>1042.66</v>
      </c>
      <c r="U17" s="5">
        <v>0</v>
      </c>
      <c r="V17" s="5">
        <f t="shared" si="2"/>
        <v>1042.66</v>
      </c>
      <c r="W17" s="5"/>
      <c r="X17" s="5"/>
      <c r="Y17" s="5"/>
      <c r="Z17" s="5"/>
      <c r="AA17" s="14">
        <f t="shared" si="3"/>
        <v>5039.54</v>
      </c>
    </row>
    <row r="18" spans="1:27" s="1" customFormat="1" ht="12.75">
      <c r="A18" s="5">
        <f t="shared" si="4"/>
        <v>12</v>
      </c>
      <c r="B18" s="5" t="s">
        <v>126</v>
      </c>
      <c r="C18" s="5">
        <v>0</v>
      </c>
      <c r="D18" s="5">
        <v>1088.52</v>
      </c>
      <c r="E18" s="5">
        <v>0</v>
      </c>
      <c r="F18" s="5">
        <v>1225.49</v>
      </c>
      <c r="G18" s="5">
        <v>0</v>
      </c>
      <c r="H18" s="5">
        <f t="shared" si="5"/>
        <v>1225.49</v>
      </c>
      <c r="I18" s="5">
        <v>0</v>
      </c>
      <c r="J18" s="12">
        <v>469.2</v>
      </c>
      <c r="K18" s="5">
        <v>0</v>
      </c>
      <c r="L18" s="12">
        <v>214.8</v>
      </c>
      <c r="M18" s="5">
        <v>0</v>
      </c>
      <c r="N18" s="5">
        <f t="shared" si="0"/>
        <v>214.8</v>
      </c>
      <c r="O18" s="5">
        <v>1567.2</v>
      </c>
      <c r="P18" s="5">
        <v>1780.99</v>
      </c>
      <c r="Q18" s="5">
        <v>0</v>
      </c>
      <c r="R18" s="5">
        <f t="shared" si="1"/>
        <v>1780.99</v>
      </c>
      <c r="S18" s="12">
        <v>676.4</v>
      </c>
      <c r="T18" s="12">
        <v>309.65</v>
      </c>
      <c r="U18" s="5">
        <v>0</v>
      </c>
      <c r="V18" s="5">
        <f t="shared" si="2"/>
        <v>309.65</v>
      </c>
      <c r="W18" s="5"/>
      <c r="X18" s="5"/>
      <c r="Y18" s="5"/>
      <c r="Z18" s="5"/>
      <c r="AA18" s="14">
        <f t="shared" si="3"/>
        <v>3530.93</v>
      </c>
    </row>
    <row r="19" spans="1:27" s="1" customFormat="1" ht="12.75">
      <c r="A19" s="5">
        <f t="shared" si="4"/>
        <v>13</v>
      </c>
      <c r="B19" s="5" t="s">
        <v>128</v>
      </c>
      <c r="C19" s="5">
        <v>18869.28</v>
      </c>
      <c r="D19" s="5">
        <v>2049.84</v>
      </c>
      <c r="E19" s="5">
        <v>18104.48</v>
      </c>
      <c r="F19" s="5">
        <v>1686.74</v>
      </c>
      <c r="G19" s="5">
        <v>0</v>
      </c>
      <c r="H19" s="5">
        <f t="shared" si="5"/>
        <v>19791.22</v>
      </c>
      <c r="I19" s="12">
        <v>20079.45</v>
      </c>
      <c r="J19" s="12">
        <v>1560.15</v>
      </c>
      <c r="K19" s="12">
        <v>19776.19</v>
      </c>
      <c r="L19" s="12">
        <v>1947.22</v>
      </c>
      <c r="M19" s="5">
        <v>58480</v>
      </c>
      <c r="N19" s="5">
        <f t="shared" si="0"/>
        <v>-36756.59</v>
      </c>
      <c r="O19" s="5">
        <v>25390.8</v>
      </c>
      <c r="P19" s="5">
        <v>23905.01</v>
      </c>
      <c r="Q19" s="5">
        <v>13157</v>
      </c>
      <c r="R19" s="5">
        <f t="shared" si="1"/>
        <v>10748.009999999998</v>
      </c>
      <c r="S19" s="12">
        <v>26255.76</v>
      </c>
      <c r="T19" s="12">
        <v>26907</v>
      </c>
      <c r="U19" s="5">
        <v>125578</v>
      </c>
      <c r="V19" s="5">
        <f t="shared" si="2"/>
        <v>-98671</v>
      </c>
      <c r="W19" s="5">
        <v>27864.1</v>
      </c>
      <c r="X19" s="5">
        <f>2706.92+2832</f>
        <v>5538.92</v>
      </c>
      <c r="Y19" s="5"/>
      <c r="Z19" s="12">
        <v>876.66</v>
      </c>
      <c r="AA19" s="14">
        <f t="shared" si="3"/>
        <v>-137414.72</v>
      </c>
    </row>
    <row r="20" spans="1:27" ht="12.75">
      <c r="A20" s="5">
        <f t="shared" si="4"/>
        <v>14</v>
      </c>
      <c r="B20" s="5" t="s">
        <v>129</v>
      </c>
      <c r="C20" s="5">
        <v>27540.84</v>
      </c>
      <c r="D20" s="5">
        <v>1756.59</v>
      </c>
      <c r="E20" s="5">
        <v>26712.3</v>
      </c>
      <c r="F20" s="5">
        <v>1868.61</v>
      </c>
      <c r="G20" s="5">
        <v>0</v>
      </c>
      <c r="H20" s="5">
        <f t="shared" si="5"/>
        <v>28580.91</v>
      </c>
      <c r="I20" s="12">
        <v>29034</v>
      </c>
      <c r="J20" s="12">
        <v>1290.6</v>
      </c>
      <c r="K20" s="12">
        <v>28444.37</v>
      </c>
      <c r="L20" s="12">
        <v>1290.6</v>
      </c>
      <c r="M20" s="5">
        <v>0</v>
      </c>
      <c r="N20" s="5">
        <f t="shared" si="0"/>
        <v>29734.969999999998</v>
      </c>
      <c r="O20" s="5">
        <v>25560.35</v>
      </c>
      <c r="P20" s="5">
        <v>34453.94</v>
      </c>
      <c r="Q20" s="5">
        <v>30456</v>
      </c>
      <c r="R20" s="5">
        <f t="shared" si="1"/>
        <v>3997.9400000000023</v>
      </c>
      <c r="S20" s="12">
        <v>36793.8</v>
      </c>
      <c r="T20" s="12">
        <v>36077.93</v>
      </c>
      <c r="U20" s="5">
        <v>6950</v>
      </c>
      <c r="V20" s="5">
        <f t="shared" si="2"/>
        <v>29127.93</v>
      </c>
      <c r="W20" s="5">
        <v>27864.1</v>
      </c>
      <c r="X20" s="5">
        <f>3903.44+2832</f>
        <v>6735.4400000000005</v>
      </c>
      <c r="Y20" s="5"/>
      <c r="Z20" s="12">
        <v>746.63</v>
      </c>
      <c r="AA20" s="14">
        <f t="shared" si="3"/>
        <v>57588.84</v>
      </c>
    </row>
    <row r="21" spans="1:27" s="1" customFormat="1" ht="12.75">
      <c r="A21" s="5">
        <f t="shared" si="4"/>
        <v>15</v>
      </c>
      <c r="B21" s="5" t="s">
        <v>130</v>
      </c>
      <c r="C21" s="5">
        <v>2056.08</v>
      </c>
      <c r="D21" s="5">
        <v>810.12</v>
      </c>
      <c r="E21" s="5">
        <v>2089.46</v>
      </c>
      <c r="F21" s="5">
        <v>60.53</v>
      </c>
      <c r="G21" s="5">
        <v>0</v>
      </c>
      <c r="H21" s="5">
        <f t="shared" si="5"/>
        <v>2149.9900000000002</v>
      </c>
      <c r="I21" s="12">
        <v>890.04</v>
      </c>
      <c r="J21" s="12">
        <v>349.2</v>
      </c>
      <c r="K21" s="12">
        <v>890.04</v>
      </c>
      <c r="L21" s="12">
        <v>0</v>
      </c>
      <c r="M21" s="5">
        <v>0</v>
      </c>
      <c r="N21" s="5">
        <f t="shared" si="0"/>
        <v>890.04</v>
      </c>
      <c r="O21" s="5">
        <v>4126.2</v>
      </c>
      <c r="P21" s="5">
        <v>3034.33</v>
      </c>
      <c r="Q21" s="5">
        <v>0</v>
      </c>
      <c r="R21" s="5">
        <f t="shared" si="1"/>
        <v>3034.33</v>
      </c>
      <c r="S21" s="12">
        <v>1786.57</v>
      </c>
      <c r="T21" s="12">
        <v>1283.12</v>
      </c>
      <c r="U21" s="5">
        <v>3112</v>
      </c>
      <c r="V21" s="5">
        <f t="shared" si="2"/>
        <v>-1828.88</v>
      </c>
      <c r="W21" s="5"/>
      <c r="X21" s="5"/>
      <c r="Y21" s="5"/>
      <c r="Z21" s="5"/>
      <c r="AA21" s="14">
        <f t="shared" si="3"/>
        <v>4245.4800000000005</v>
      </c>
    </row>
    <row r="22" spans="1:27" ht="12.75">
      <c r="A22" s="5">
        <f t="shared" si="4"/>
        <v>16</v>
      </c>
      <c r="B22" s="5" t="s">
        <v>131</v>
      </c>
      <c r="C22" s="5">
        <v>92920.02</v>
      </c>
      <c r="D22" s="5">
        <v>8701.56</v>
      </c>
      <c r="E22" s="5">
        <v>86376.86</v>
      </c>
      <c r="F22" s="5">
        <v>8267.6</v>
      </c>
      <c r="G22" s="5">
        <v>0</v>
      </c>
      <c r="H22" s="5">
        <f t="shared" si="5"/>
        <v>94644.46</v>
      </c>
      <c r="I22" s="12">
        <v>98656.86</v>
      </c>
      <c r="J22" s="12">
        <v>6441</v>
      </c>
      <c r="K22" s="12">
        <v>96878.99</v>
      </c>
      <c r="L22" s="12">
        <v>6924.13</v>
      </c>
      <c r="M22" s="5">
        <v>0</v>
      </c>
      <c r="N22" s="5">
        <f t="shared" si="0"/>
        <v>103803.12000000001</v>
      </c>
      <c r="O22" s="5">
        <v>123343.83</v>
      </c>
      <c r="P22" s="5">
        <v>113695.89</v>
      </c>
      <c r="Q22" s="5">
        <v>81671</v>
      </c>
      <c r="R22" s="5">
        <f t="shared" si="1"/>
        <v>32024.89</v>
      </c>
      <c r="S22" s="12">
        <v>127518.24</v>
      </c>
      <c r="T22" s="12">
        <v>128944.39</v>
      </c>
      <c r="U22" s="5">
        <v>470363</v>
      </c>
      <c r="V22" s="5">
        <f t="shared" si="2"/>
        <v>-341418.61</v>
      </c>
      <c r="W22" s="5">
        <f>5615.82+1223.35+3734.56+1178.2</f>
        <v>11751.93</v>
      </c>
      <c r="X22" s="5">
        <f>11427.12+2006+880.28</f>
        <v>14313.400000000001</v>
      </c>
      <c r="Y22" s="5"/>
      <c r="Z22" s="12">
        <v>4513.62</v>
      </c>
      <c r="AA22" s="14">
        <f t="shared" si="3"/>
        <v>-132497.84999999995</v>
      </c>
    </row>
    <row r="23" spans="1:27" s="1" customFormat="1" ht="12.75">
      <c r="A23" s="5">
        <f t="shared" si="4"/>
        <v>17</v>
      </c>
      <c r="B23" s="5" t="s">
        <v>132</v>
      </c>
      <c r="C23" s="5">
        <v>392.52</v>
      </c>
      <c r="D23" s="5">
        <v>398.16</v>
      </c>
      <c r="E23" s="5">
        <v>392.52</v>
      </c>
      <c r="F23" s="5">
        <v>224.37</v>
      </c>
      <c r="G23" s="5">
        <v>0</v>
      </c>
      <c r="H23" s="5">
        <f t="shared" si="5"/>
        <v>616.89</v>
      </c>
      <c r="I23" s="12">
        <v>169.2</v>
      </c>
      <c r="J23" s="12">
        <v>171.6</v>
      </c>
      <c r="K23" s="12">
        <v>203.04</v>
      </c>
      <c r="L23" s="12">
        <v>1177.38</v>
      </c>
      <c r="M23" s="5">
        <v>0</v>
      </c>
      <c r="N23" s="5">
        <f t="shared" si="0"/>
        <v>1380.42</v>
      </c>
      <c r="O23" s="5">
        <v>1138.2</v>
      </c>
      <c r="P23" s="5">
        <v>803.4</v>
      </c>
      <c r="Q23" s="5">
        <v>0</v>
      </c>
      <c r="R23" s="5">
        <f t="shared" si="1"/>
        <v>803.4</v>
      </c>
      <c r="S23" s="12">
        <v>491.35</v>
      </c>
      <c r="T23" s="12">
        <v>1733.48</v>
      </c>
      <c r="U23" s="5">
        <v>0</v>
      </c>
      <c r="V23" s="5">
        <f t="shared" si="2"/>
        <v>1733.48</v>
      </c>
      <c r="W23" s="5"/>
      <c r="X23" s="5"/>
      <c r="Y23" s="5"/>
      <c r="Z23" s="12"/>
      <c r="AA23" s="14">
        <f t="shared" si="3"/>
        <v>4534.1900000000005</v>
      </c>
    </row>
    <row r="24" spans="1:27" ht="12.75">
      <c r="A24" s="5">
        <f t="shared" si="4"/>
        <v>18</v>
      </c>
      <c r="B24" s="5" t="s">
        <v>133</v>
      </c>
      <c r="C24" s="5">
        <v>46648.46</v>
      </c>
      <c r="D24" s="5">
        <v>6013.56</v>
      </c>
      <c r="E24" s="5">
        <v>43250.21</v>
      </c>
      <c r="F24" s="5">
        <v>5050.56</v>
      </c>
      <c r="G24" s="5">
        <v>0</v>
      </c>
      <c r="H24" s="5">
        <f aca="true" t="shared" si="6" ref="H24:H42">E24+F24-G24</f>
        <v>48300.77</v>
      </c>
      <c r="I24" s="12">
        <v>50626.2</v>
      </c>
      <c r="J24" s="12">
        <v>3826.8</v>
      </c>
      <c r="K24" s="12">
        <v>51209.93</v>
      </c>
      <c r="L24" s="12">
        <v>2708.4</v>
      </c>
      <c r="M24" s="5">
        <v>0</v>
      </c>
      <c r="N24" s="5">
        <f t="shared" si="0"/>
        <v>53918.33</v>
      </c>
      <c r="O24" s="5">
        <v>63918.62</v>
      </c>
      <c r="P24" s="5">
        <v>58704.26</v>
      </c>
      <c r="Q24" s="5">
        <v>111158</v>
      </c>
      <c r="R24" s="5">
        <f t="shared" si="1"/>
        <v>-52453.74</v>
      </c>
      <c r="S24" s="12">
        <v>66069.82</v>
      </c>
      <c r="T24" s="12">
        <v>65968.94</v>
      </c>
      <c r="U24" s="5">
        <v>245114</v>
      </c>
      <c r="V24" s="5">
        <f t="shared" si="2"/>
        <v>-179145.06</v>
      </c>
      <c r="W24" s="5">
        <f>8901.03+6127.52</f>
        <v>15028.550000000001</v>
      </c>
      <c r="X24" s="5">
        <f>13204.2+1925.76</f>
        <v>15129.960000000001</v>
      </c>
      <c r="Y24" s="5"/>
      <c r="Z24" s="12">
        <v>4615.25</v>
      </c>
      <c r="AA24" s="14">
        <f t="shared" si="3"/>
        <v>-154922.95999999996</v>
      </c>
    </row>
    <row r="25" spans="1:27" s="1" customFormat="1" ht="12.75">
      <c r="A25" s="5">
        <f t="shared" si="4"/>
        <v>19</v>
      </c>
      <c r="B25" s="5" t="s">
        <v>0</v>
      </c>
      <c r="C25" s="5">
        <v>765.6</v>
      </c>
      <c r="D25" s="5">
        <v>0</v>
      </c>
      <c r="E25" s="5">
        <v>765.6</v>
      </c>
      <c r="F25" s="5">
        <v>0</v>
      </c>
      <c r="G25" s="5">
        <v>0</v>
      </c>
      <c r="H25" s="5">
        <f t="shared" si="6"/>
        <v>765.6</v>
      </c>
      <c r="I25" s="12">
        <v>330</v>
      </c>
      <c r="J25" s="5">
        <v>0</v>
      </c>
      <c r="K25" s="12">
        <v>330</v>
      </c>
      <c r="L25" s="5">
        <v>0</v>
      </c>
      <c r="M25" s="5">
        <v>0</v>
      </c>
      <c r="N25" s="5">
        <f t="shared" si="0"/>
        <v>330</v>
      </c>
      <c r="O25" s="5">
        <v>1102.2</v>
      </c>
      <c r="P25" s="5">
        <v>1102.2</v>
      </c>
      <c r="Q25" s="5">
        <v>0</v>
      </c>
      <c r="R25" s="5">
        <f t="shared" si="1"/>
        <v>1102.2</v>
      </c>
      <c r="S25" s="12">
        <v>475.75</v>
      </c>
      <c r="T25" s="12">
        <v>475.75</v>
      </c>
      <c r="U25" s="5">
        <v>0</v>
      </c>
      <c r="V25" s="5">
        <f t="shared" si="2"/>
        <v>475.75</v>
      </c>
      <c r="W25" s="5"/>
      <c r="X25" s="5"/>
      <c r="Y25" s="5"/>
      <c r="Z25" s="5"/>
      <c r="AA25" s="14">
        <f t="shared" si="3"/>
        <v>2673.55</v>
      </c>
    </row>
    <row r="26" spans="1:27" ht="25.5">
      <c r="A26" s="5">
        <f t="shared" si="4"/>
        <v>20</v>
      </c>
      <c r="B26" s="5" t="s">
        <v>134</v>
      </c>
      <c r="C26" s="5">
        <v>7027.92</v>
      </c>
      <c r="D26" s="5">
        <v>0</v>
      </c>
      <c r="E26" s="5">
        <v>6246.02</v>
      </c>
      <c r="F26" s="5">
        <v>0</v>
      </c>
      <c r="G26" s="5">
        <v>0</v>
      </c>
      <c r="H26" s="5">
        <f t="shared" si="6"/>
        <v>6246.02</v>
      </c>
      <c r="I26" s="12">
        <v>7270.2</v>
      </c>
      <c r="J26" s="5">
        <v>0</v>
      </c>
      <c r="K26" s="12">
        <v>7934.01</v>
      </c>
      <c r="L26" s="5">
        <v>0</v>
      </c>
      <c r="M26" s="5">
        <v>241100</v>
      </c>
      <c r="N26" s="5">
        <f t="shared" si="0"/>
        <v>-233165.99</v>
      </c>
      <c r="O26" s="5">
        <v>8530.44</v>
      </c>
      <c r="P26" s="5">
        <v>7588.25</v>
      </c>
      <c r="Q26" s="5">
        <v>10119</v>
      </c>
      <c r="R26" s="5">
        <f t="shared" si="1"/>
        <v>-2530.75</v>
      </c>
      <c r="S26" s="12">
        <v>8821.2</v>
      </c>
      <c r="T26" s="12">
        <v>9671.61</v>
      </c>
      <c r="U26" s="5">
        <v>16246</v>
      </c>
      <c r="V26" s="5">
        <f t="shared" si="2"/>
        <v>-6574.389999999999</v>
      </c>
      <c r="W26" s="5">
        <v>5572.82</v>
      </c>
      <c r="X26" s="5">
        <v>3273.32</v>
      </c>
      <c r="Y26" s="5"/>
      <c r="Z26" s="12">
        <v>738.23</v>
      </c>
      <c r="AA26" s="14">
        <f t="shared" si="3"/>
        <v>-244133.02</v>
      </c>
    </row>
    <row r="27" spans="1:27" ht="25.5">
      <c r="A27" s="5">
        <f t="shared" si="4"/>
        <v>21</v>
      </c>
      <c r="B27" s="5" t="s">
        <v>135</v>
      </c>
      <c r="C27" s="5">
        <v>9044.64</v>
      </c>
      <c r="D27" s="5">
        <v>866.52</v>
      </c>
      <c r="E27" s="5">
        <v>8845.69</v>
      </c>
      <c r="F27" s="5">
        <v>794.31</v>
      </c>
      <c r="G27" s="5">
        <v>0</v>
      </c>
      <c r="H27" s="5">
        <f t="shared" si="6"/>
        <v>9640</v>
      </c>
      <c r="I27" s="12">
        <v>9356.4</v>
      </c>
      <c r="J27" s="12">
        <v>896.4</v>
      </c>
      <c r="K27" s="12">
        <v>9249.44</v>
      </c>
      <c r="L27" s="12">
        <v>968.61</v>
      </c>
      <c r="M27" s="5">
        <v>0</v>
      </c>
      <c r="N27" s="5">
        <f t="shared" si="0"/>
        <v>10218.050000000001</v>
      </c>
      <c r="O27" s="5">
        <v>12030</v>
      </c>
      <c r="P27" s="5">
        <v>11576.08</v>
      </c>
      <c r="Q27" s="5">
        <v>38282</v>
      </c>
      <c r="R27" s="5">
        <f t="shared" si="1"/>
        <v>-26705.92</v>
      </c>
      <c r="S27" s="12">
        <v>12440.28</v>
      </c>
      <c r="T27" s="12">
        <v>12398.11</v>
      </c>
      <c r="U27" s="5">
        <v>39617</v>
      </c>
      <c r="V27" s="5">
        <f t="shared" si="2"/>
        <v>-27218.89</v>
      </c>
      <c r="W27" s="5">
        <f>857.85+1732.91</f>
        <v>2590.76</v>
      </c>
      <c r="X27" s="5">
        <v>1536.36</v>
      </c>
      <c r="Y27" s="5"/>
      <c r="Z27" s="12">
        <v>540.09</v>
      </c>
      <c r="AA27" s="14">
        <f t="shared" si="3"/>
        <v>-37653.79</v>
      </c>
    </row>
    <row r="28" spans="1:27" ht="12.75">
      <c r="A28" s="5">
        <f t="shared" si="4"/>
        <v>22</v>
      </c>
      <c r="B28" s="5" t="s">
        <v>136</v>
      </c>
      <c r="C28" s="5">
        <v>87638.28</v>
      </c>
      <c r="D28" s="5">
        <v>10175.98</v>
      </c>
      <c r="E28" s="5">
        <v>84626.77</v>
      </c>
      <c r="F28" s="5">
        <v>10301.06</v>
      </c>
      <c r="G28" s="5">
        <v>41985</v>
      </c>
      <c r="H28" s="5">
        <f t="shared" si="6"/>
        <v>52942.83</v>
      </c>
      <c r="I28" s="12">
        <v>93092.13</v>
      </c>
      <c r="J28" s="12">
        <v>8034.18</v>
      </c>
      <c r="K28" s="12">
        <v>93193.62</v>
      </c>
      <c r="L28" s="12">
        <v>7694.85</v>
      </c>
      <c r="M28" s="5">
        <v>226813</v>
      </c>
      <c r="N28" s="5">
        <f t="shared" si="0"/>
        <v>-125924.53</v>
      </c>
      <c r="O28" s="5">
        <v>118232.32</v>
      </c>
      <c r="P28" s="5">
        <v>113616.06</v>
      </c>
      <c r="Q28" s="5">
        <v>76901</v>
      </c>
      <c r="R28" s="5">
        <f t="shared" si="1"/>
        <v>36715.06</v>
      </c>
      <c r="S28" s="12">
        <v>122191.83</v>
      </c>
      <c r="T28" s="12">
        <v>122961.33</v>
      </c>
      <c r="U28" s="5">
        <v>478674</v>
      </c>
      <c r="V28" s="5">
        <f t="shared" si="2"/>
        <v>-355712.67</v>
      </c>
      <c r="W28" s="5">
        <f>12035.7+10719.9+5583.57+5667.42</f>
        <v>34006.59</v>
      </c>
      <c r="X28" s="5">
        <f>4911.16+25648.48+9760.96</f>
        <v>40320.6</v>
      </c>
      <c r="Y28" s="5"/>
      <c r="Z28" s="12">
        <v>15549.13</v>
      </c>
      <c r="AA28" s="14">
        <f>H28+N28+R28+V28-W28-X28+Y28+Z28</f>
        <v>-450757.37</v>
      </c>
    </row>
    <row r="29" spans="1:27" ht="12.75">
      <c r="A29" s="5">
        <f t="shared" si="4"/>
        <v>23</v>
      </c>
      <c r="B29" s="5" t="s">
        <v>137</v>
      </c>
      <c r="C29" s="5">
        <v>44991.19</v>
      </c>
      <c r="D29" s="5">
        <v>0</v>
      </c>
      <c r="E29" s="5">
        <v>42953.17</v>
      </c>
      <c r="F29" s="5">
        <v>0</v>
      </c>
      <c r="G29" s="5">
        <v>0</v>
      </c>
      <c r="H29" s="5">
        <f t="shared" si="6"/>
        <v>42953.17</v>
      </c>
      <c r="I29" s="12">
        <v>46571.25</v>
      </c>
      <c r="J29" s="12">
        <v>0</v>
      </c>
      <c r="K29" s="12">
        <v>46092.26</v>
      </c>
      <c r="L29" s="5">
        <v>0</v>
      </c>
      <c r="M29" s="5">
        <v>0</v>
      </c>
      <c r="N29" s="5">
        <f t="shared" si="0"/>
        <v>46092.26</v>
      </c>
      <c r="O29" s="5">
        <v>54607.62</v>
      </c>
      <c r="P29" s="5">
        <v>51897.49</v>
      </c>
      <c r="Q29" s="5">
        <v>26229</v>
      </c>
      <c r="R29" s="5">
        <f t="shared" si="1"/>
        <v>25668.489999999998</v>
      </c>
      <c r="S29" s="12">
        <v>56506.36</v>
      </c>
      <c r="T29" s="12">
        <v>57465.74</v>
      </c>
      <c r="U29" s="5">
        <v>16041</v>
      </c>
      <c r="V29" s="5">
        <f t="shared" si="2"/>
        <v>41424.74</v>
      </c>
      <c r="W29" s="5">
        <f>2526.26+7458.37</f>
        <v>9984.630000000001</v>
      </c>
      <c r="X29" s="5">
        <v>20029.32</v>
      </c>
      <c r="Y29" s="5"/>
      <c r="Z29" s="12">
        <v>4150.34</v>
      </c>
      <c r="AA29" s="14">
        <f t="shared" si="3"/>
        <v>130275.04999999996</v>
      </c>
    </row>
    <row r="30" spans="1:27" ht="12.75">
      <c r="A30" s="5">
        <f t="shared" si="4"/>
        <v>24</v>
      </c>
      <c r="B30" s="5" t="s">
        <v>138</v>
      </c>
      <c r="C30" s="5">
        <v>0</v>
      </c>
      <c r="D30" s="5">
        <v>7986.3</v>
      </c>
      <c r="E30" s="5">
        <v>0</v>
      </c>
      <c r="F30" s="5">
        <v>7626.06</v>
      </c>
      <c r="G30" s="5">
        <v>0</v>
      </c>
      <c r="H30" s="5">
        <f t="shared" si="6"/>
        <v>7626.06</v>
      </c>
      <c r="I30" s="12">
        <v>823.2</v>
      </c>
      <c r="J30" s="12">
        <v>7465.92</v>
      </c>
      <c r="K30" s="12">
        <v>719.7</v>
      </c>
      <c r="L30" s="12">
        <v>7016.2</v>
      </c>
      <c r="M30" s="5">
        <v>0</v>
      </c>
      <c r="N30" s="5">
        <f t="shared" si="0"/>
        <v>7735.9</v>
      </c>
      <c r="O30" s="5">
        <v>3249.6</v>
      </c>
      <c r="P30" s="5">
        <v>2939.13</v>
      </c>
      <c r="Q30" s="5">
        <v>5318</v>
      </c>
      <c r="R30" s="5">
        <f t="shared" si="1"/>
        <v>-2378.87</v>
      </c>
      <c r="S30" s="12">
        <v>3384.88</v>
      </c>
      <c r="T30" s="12">
        <v>3149.68</v>
      </c>
      <c r="U30" s="5">
        <v>15887</v>
      </c>
      <c r="V30" s="5">
        <f t="shared" si="2"/>
        <v>-12737.32</v>
      </c>
      <c r="W30" s="5">
        <v>101660</v>
      </c>
      <c r="X30" s="5">
        <v>104856.2</v>
      </c>
      <c r="Y30" s="5">
        <f>2429.83+54174.37</f>
        <v>56604.200000000004</v>
      </c>
      <c r="Z30" s="12">
        <v>1512.76</v>
      </c>
      <c r="AA30" s="14">
        <f t="shared" si="3"/>
        <v>-148153.46999999997</v>
      </c>
    </row>
    <row r="31" spans="1:27" ht="12.75">
      <c r="A31" s="5">
        <f t="shared" si="4"/>
        <v>25</v>
      </c>
      <c r="B31" s="5" t="s">
        <v>139</v>
      </c>
      <c r="C31" s="5">
        <v>25292.65</v>
      </c>
      <c r="D31" s="5">
        <v>709.92</v>
      </c>
      <c r="E31" s="5">
        <v>24193.91</v>
      </c>
      <c r="F31" s="5">
        <v>732.92</v>
      </c>
      <c r="G31" s="5">
        <v>0</v>
      </c>
      <c r="H31" s="5">
        <f t="shared" si="6"/>
        <v>24926.829999999998</v>
      </c>
      <c r="I31" s="12">
        <v>26093.55</v>
      </c>
      <c r="J31" s="12">
        <v>734.4</v>
      </c>
      <c r="K31" s="12">
        <v>26137.49</v>
      </c>
      <c r="L31" s="12">
        <v>670.8</v>
      </c>
      <c r="M31" s="5">
        <v>0</v>
      </c>
      <c r="N31" s="5">
        <f t="shared" si="0"/>
        <v>26808.29</v>
      </c>
      <c r="O31" s="5">
        <v>31560.67</v>
      </c>
      <c r="P31" s="5">
        <v>29931.7</v>
      </c>
      <c r="Q31" s="5">
        <v>7173</v>
      </c>
      <c r="R31" s="5">
        <f t="shared" si="1"/>
        <v>22758.7</v>
      </c>
      <c r="S31" s="12">
        <v>32550.91</v>
      </c>
      <c r="T31" s="12">
        <v>33369.77</v>
      </c>
      <c r="U31" s="5">
        <v>16239</v>
      </c>
      <c r="V31" s="5">
        <f t="shared" si="2"/>
        <v>17130.769999999997</v>
      </c>
      <c r="W31" s="5">
        <f>1689.91+625.65</f>
        <v>2315.56</v>
      </c>
      <c r="X31" s="5">
        <v>2796.6</v>
      </c>
      <c r="Y31" s="5"/>
      <c r="Z31" s="12">
        <v>944.03</v>
      </c>
      <c r="AA31" s="14">
        <f t="shared" si="3"/>
        <v>87456.45999999999</v>
      </c>
    </row>
    <row r="32" spans="1:27" s="10" customFormat="1" ht="12.75">
      <c r="A32" s="7">
        <f t="shared" si="4"/>
        <v>26</v>
      </c>
      <c r="B32" s="7" t="s">
        <v>98</v>
      </c>
      <c r="C32" s="7">
        <v>37315.56</v>
      </c>
      <c r="D32" s="7">
        <v>9584.28</v>
      </c>
      <c r="E32" s="7">
        <v>35919.67</v>
      </c>
      <c r="F32" s="7">
        <v>7722.63</v>
      </c>
      <c r="G32" s="7">
        <v>0</v>
      </c>
      <c r="H32" s="7">
        <f t="shared" si="6"/>
        <v>43642.299999999996</v>
      </c>
      <c r="I32" s="12">
        <v>35392.8</v>
      </c>
      <c r="J32" s="12">
        <v>9088.2</v>
      </c>
      <c r="K32" s="12">
        <v>35338.98</v>
      </c>
      <c r="L32" s="12">
        <v>7850.11</v>
      </c>
      <c r="M32" s="7">
        <v>0</v>
      </c>
      <c r="N32" s="5">
        <f t="shared" si="0"/>
        <v>43189.090000000004</v>
      </c>
      <c r="O32" s="7">
        <v>56924.88</v>
      </c>
      <c r="P32" s="7">
        <v>52382.23</v>
      </c>
      <c r="Q32" s="7">
        <v>18064</v>
      </c>
      <c r="R32" s="7">
        <f t="shared" si="1"/>
        <v>34318.23</v>
      </c>
      <c r="S32" s="12">
        <v>53970.17</v>
      </c>
      <c r="T32" s="12">
        <v>52056.27</v>
      </c>
      <c r="U32" s="7">
        <v>30372</v>
      </c>
      <c r="V32" s="5">
        <f t="shared" si="2"/>
        <v>21684.269999999997</v>
      </c>
      <c r="W32" s="7">
        <f>8075.43+7228.32</f>
        <v>15303.75</v>
      </c>
      <c r="X32" s="7">
        <v>15170.08</v>
      </c>
      <c r="Y32" s="7"/>
      <c r="Z32" s="12">
        <v>3905.95</v>
      </c>
      <c r="AA32" s="14">
        <f t="shared" si="3"/>
        <v>116266.00999999998</v>
      </c>
    </row>
    <row r="33" spans="1:27" s="10" customFormat="1" ht="12.75">
      <c r="A33" s="7">
        <f t="shared" si="4"/>
        <v>27</v>
      </c>
      <c r="B33" s="7" t="s">
        <v>101</v>
      </c>
      <c r="C33" s="7">
        <v>51100.09</v>
      </c>
      <c r="D33" s="7">
        <v>1589.24</v>
      </c>
      <c r="E33" s="7">
        <v>51246.06</v>
      </c>
      <c r="F33" s="7">
        <v>595.9</v>
      </c>
      <c r="G33" s="7">
        <v>57456</v>
      </c>
      <c r="H33" s="7">
        <f t="shared" si="6"/>
        <v>-5614.040000000001</v>
      </c>
      <c r="I33" s="12">
        <v>48988.6</v>
      </c>
      <c r="J33" s="12">
        <v>947.1</v>
      </c>
      <c r="K33" s="12">
        <v>49211.4</v>
      </c>
      <c r="L33" s="12">
        <v>0</v>
      </c>
      <c r="M33" s="7">
        <v>0</v>
      </c>
      <c r="N33" s="5">
        <f t="shared" si="0"/>
        <v>49211.4</v>
      </c>
      <c r="O33" s="7">
        <v>63591.82</v>
      </c>
      <c r="P33" s="7">
        <v>60645.77</v>
      </c>
      <c r="Q33" s="7">
        <v>21362</v>
      </c>
      <c r="R33" s="7">
        <f t="shared" si="1"/>
        <v>39283.77</v>
      </c>
      <c r="S33" s="12">
        <v>60588.29</v>
      </c>
      <c r="T33" s="12">
        <v>59748.46</v>
      </c>
      <c r="U33" s="7">
        <v>148802</v>
      </c>
      <c r="V33" s="5">
        <f t="shared" si="2"/>
        <v>-89053.54000000001</v>
      </c>
      <c r="W33" s="7">
        <f>10451.2+4831.07</f>
        <v>15282.27</v>
      </c>
      <c r="X33" s="7">
        <v>13190.04</v>
      </c>
      <c r="Y33" s="7"/>
      <c r="Z33" s="12">
        <v>4063.03</v>
      </c>
      <c r="AA33" s="14">
        <f t="shared" si="3"/>
        <v>-30581.690000000002</v>
      </c>
    </row>
    <row r="34" spans="1:27" ht="12.75">
      <c r="A34" s="5">
        <f>A31+1</f>
        <v>26</v>
      </c>
      <c r="B34" s="5" t="s">
        <v>140</v>
      </c>
      <c r="C34" s="5">
        <v>9984.6</v>
      </c>
      <c r="D34" s="5">
        <v>1465.08</v>
      </c>
      <c r="E34" s="5">
        <v>9602.41</v>
      </c>
      <c r="F34" s="5">
        <v>1465.28</v>
      </c>
      <c r="G34" s="5">
        <v>0</v>
      </c>
      <c r="H34" s="5">
        <f t="shared" si="6"/>
        <v>11067.69</v>
      </c>
      <c r="I34" s="12">
        <v>10328.4</v>
      </c>
      <c r="J34" s="12">
        <v>1515.6</v>
      </c>
      <c r="K34" s="12">
        <v>10032.3</v>
      </c>
      <c r="L34" s="12">
        <v>1446.1</v>
      </c>
      <c r="M34" s="5">
        <v>294940</v>
      </c>
      <c r="N34" s="5">
        <f t="shared" si="0"/>
        <v>-283461.6</v>
      </c>
      <c r="O34" s="5">
        <v>13896.96</v>
      </c>
      <c r="P34" s="5">
        <v>13813.72</v>
      </c>
      <c r="Q34" s="5">
        <v>15891</v>
      </c>
      <c r="R34" s="5">
        <f t="shared" si="1"/>
        <v>-2077.2800000000007</v>
      </c>
      <c r="S34" s="12">
        <v>14370.72</v>
      </c>
      <c r="T34" s="12">
        <v>14321.97</v>
      </c>
      <c r="U34" s="5">
        <v>32394</v>
      </c>
      <c r="V34" s="5">
        <f t="shared" si="2"/>
        <v>-18072.03</v>
      </c>
      <c r="W34" s="5">
        <v>1272.8</v>
      </c>
      <c r="X34" s="5">
        <v>3613.16</v>
      </c>
      <c r="Y34" s="5"/>
      <c r="Z34" s="12">
        <v>705.6</v>
      </c>
      <c r="AA34" s="14">
        <f t="shared" si="3"/>
        <v>-296723.57999999996</v>
      </c>
    </row>
    <row r="35" spans="1:27" ht="12.75">
      <c r="A35" s="5">
        <f t="shared" si="4"/>
        <v>27</v>
      </c>
      <c r="B35" s="5" t="s">
        <v>141</v>
      </c>
      <c r="C35" s="5">
        <v>8237.52</v>
      </c>
      <c r="D35" s="5">
        <v>0</v>
      </c>
      <c r="E35" s="5">
        <v>7652.08</v>
      </c>
      <c r="F35" s="5">
        <v>0</v>
      </c>
      <c r="G35" s="5">
        <v>0</v>
      </c>
      <c r="H35" s="5">
        <f t="shared" si="6"/>
        <v>7652.08</v>
      </c>
      <c r="I35" s="12">
        <v>8532.99</v>
      </c>
      <c r="J35" s="5">
        <v>0</v>
      </c>
      <c r="K35" s="12">
        <v>8666.54</v>
      </c>
      <c r="L35" s="5">
        <v>0</v>
      </c>
      <c r="M35" s="5">
        <v>259192</v>
      </c>
      <c r="N35" s="5">
        <f t="shared" si="0"/>
        <v>-250525.46</v>
      </c>
      <c r="O35" s="5">
        <v>9998.4</v>
      </c>
      <c r="P35" s="5">
        <v>9025.38</v>
      </c>
      <c r="Q35" s="5">
        <v>5435</v>
      </c>
      <c r="R35" s="5">
        <f t="shared" si="1"/>
        <v>3590.379999999999</v>
      </c>
      <c r="S35" s="12">
        <v>10353.4</v>
      </c>
      <c r="T35" s="12">
        <v>10606.96</v>
      </c>
      <c r="U35" s="5">
        <v>32856</v>
      </c>
      <c r="V35" s="5">
        <f t="shared" si="2"/>
        <v>-22249.04</v>
      </c>
      <c r="W35" s="5">
        <f>3483.01+3483.01</f>
        <v>6966.02</v>
      </c>
      <c r="X35" s="5">
        <f>89.68+2055.56+77.88+2046.12</f>
        <v>4269.24</v>
      </c>
      <c r="Y35" s="5"/>
      <c r="Z35" s="12">
        <v>445.84</v>
      </c>
      <c r="AA35" s="14">
        <f t="shared" si="3"/>
        <v>-272321.45999999996</v>
      </c>
    </row>
    <row r="36" spans="1:27" ht="12.75">
      <c r="A36" s="5">
        <f t="shared" si="4"/>
        <v>28</v>
      </c>
      <c r="B36" s="5" t="s">
        <v>142</v>
      </c>
      <c r="C36" s="5">
        <v>5162.88</v>
      </c>
      <c r="D36" s="5">
        <v>1455.96</v>
      </c>
      <c r="E36" s="5">
        <v>4756.12</v>
      </c>
      <c r="F36" s="5">
        <v>1476.84</v>
      </c>
      <c r="G36" s="5">
        <v>0</v>
      </c>
      <c r="H36" s="5">
        <f t="shared" si="6"/>
        <v>6232.96</v>
      </c>
      <c r="I36" s="12">
        <v>5373.36</v>
      </c>
      <c r="J36" s="12">
        <v>1473.84</v>
      </c>
      <c r="K36" s="12">
        <v>4971.92</v>
      </c>
      <c r="L36" s="12">
        <v>1376.64</v>
      </c>
      <c r="M36" s="5">
        <v>0</v>
      </c>
      <c r="N36" s="5">
        <f t="shared" si="0"/>
        <v>6348.56</v>
      </c>
      <c r="O36" s="5">
        <v>9529.08</v>
      </c>
      <c r="P36" s="5">
        <v>9047.19</v>
      </c>
      <c r="Q36" s="5">
        <v>104550</v>
      </c>
      <c r="R36" s="5">
        <f t="shared" si="1"/>
        <v>-95502.81</v>
      </c>
      <c r="S36" s="12">
        <v>9871.32</v>
      </c>
      <c r="T36" s="12">
        <v>9278.08</v>
      </c>
      <c r="U36" s="5">
        <v>8494</v>
      </c>
      <c r="V36" s="5">
        <f t="shared" si="2"/>
        <v>784.0799999999999</v>
      </c>
      <c r="W36" s="5">
        <f>6966.02+1012.65</f>
        <v>7978.67</v>
      </c>
      <c r="X36" s="5">
        <v>151.04</v>
      </c>
      <c r="Y36" s="5"/>
      <c r="Z36" s="12">
        <v>677.61</v>
      </c>
      <c r="AA36" s="14">
        <f t="shared" si="3"/>
        <v>-89589.30999999998</v>
      </c>
    </row>
    <row r="37" spans="1:27" s="1" customFormat="1" ht="12.75">
      <c r="A37" s="5">
        <f t="shared" si="4"/>
        <v>29</v>
      </c>
      <c r="B37" s="5" t="s">
        <v>143</v>
      </c>
      <c r="C37" s="5">
        <v>963.36</v>
      </c>
      <c r="D37" s="5">
        <v>503.88</v>
      </c>
      <c r="E37" s="5">
        <v>365.49</v>
      </c>
      <c r="F37" s="5">
        <v>503.88</v>
      </c>
      <c r="G37" s="5">
        <v>0</v>
      </c>
      <c r="H37" s="5">
        <f t="shared" si="6"/>
        <v>869.37</v>
      </c>
      <c r="I37" s="12">
        <v>415.2</v>
      </c>
      <c r="J37" s="12">
        <v>217.2</v>
      </c>
      <c r="K37" s="12">
        <v>153.6</v>
      </c>
      <c r="L37" s="12">
        <v>217.2</v>
      </c>
      <c r="M37" s="5">
        <v>76930</v>
      </c>
      <c r="N37" s="5">
        <f t="shared" si="0"/>
        <v>-76559.2</v>
      </c>
      <c r="O37" s="5">
        <v>2112.12</v>
      </c>
      <c r="P37" s="5">
        <v>1217.73</v>
      </c>
      <c r="Q37" s="5">
        <v>0</v>
      </c>
      <c r="R37" s="5">
        <f t="shared" si="1"/>
        <v>1217.73</v>
      </c>
      <c r="S37" s="12">
        <v>911.75</v>
      </c>
      <c r="T37" s="12">
        <v>534.6</v>
      </c>
      <c r="U37" s="5">
        <v>0</v>
      </c>
      <c r="V37" s="5">
        <f t="shared" si="2"/>
        <v>534.6</v>
      </c>
      <c r="W37" s="5">
        <v>6269.42</v>
      </c>
      <c r="X37" s="5">
        <v>3714.64</v>
      </c>
      <c r="Y37" s="5"/>
      <c r="Z37" s="5"/>
      <c r="AA37" s="14">
        <f t="shared" si="3"/>
        <v>-83921.56</v>
      </c>
    </row>
    <row r="38" spans="1:27" s="1" customFormat="1" ht="12.75">
      <c r="A38" s="5">
        <f t="shared" si="4"/>
        <v>30</v>
      </c>
      <c r="B38" s="5" t="s">
        <v>144</v>
      </c>
      <c r="C38" s="5">
        <v>2150.64</v>
      </c>
      <c r="D38" s="5">
        <v>0</v>
      </c>
      <c r="E38" s="5">
        <v>2096.47</v>
      </c>
      <c r="F38" s="5">
        <v>0</v>
      </c>
      <c r="G38" s="5">
        <v>0</v>
      </c>
      <c r="H38" s="5">
        <f t="shared" si="6"/>
        <v>2096.47</v>
      </c>
      <c r="I38" s="12">
        <v>927</v>
      </c>
      <c r="J38" s="5">
        <v>0</v>
      </c>
      <c r="K38" s="12">
        <v>1024.77</v>
      </c>
      <c r="L38" s="5">
        <v>0</v>
      </c>
      <c r="M38" s="5">
        <v>0</v>
      </c>
      <c r="N38" s="5">
        <f t="shared" si="0"/>
        <v>1024.77</v>
      </c>
      <c r="O38" s="5">
        <v>3096.24</v>
      </c>
      <c r="P38" s="5">
        <v>2990.7</v>
      </c>
      <c r="Q38" s="5">
        <v>0</v>
      </c>
      <c r="R38" s="5">
        <f t="shared" si="1"/>
        <v>2990.7</v>
      </c>
      <c r="S38" s="12">
        <v>1336.45</v>
      </c>
      <c r="T38" s="12">
        <v>1508.67</v>
      </c>
      <c r="U38" s="5">
        <v>98892</v>
      </c>
      <c r="V38" s="5">
        <f t="shared" si="2"/>
        <v>-97383.33</v>
      </c>
      <c r="W38" s="5">
        <v>8359.23</v>
      </c>
      <c r="X38" s="5">
        <v>4956</v>
      </c>
      <c r="Y38" s="5"/>
      <c r="Z38" s="5"/>
      <c r="AA38" s="14">
        <f t="shared" si="3"/>
        <v>-104586.62</v>
      </c>
    </row>
    <row r="39" spans="1:27" s="1" customFormat="1" ht="12.75">
      <c r="A39" s="5">
        <f t="shared" si="4"/>
        <v>31</v>
      </c>
      <c r="B39" s="5" t="s">
        <v>145</v>
      </c>
      <c r="C39" s="5">
        <v>1300.08</v>
      </c>
      <c r="D39" s="5">
        <v>0</v>
      </c>
      <c r="E39" s="5">
        <v>1300.08</v>
      </c>
      <c r="F39" s="5">
        <v>0</v>
      </c>
      <c r="G39" s="5">
        <v>0</v>
      </c>
      <c r="H39" s="5">
        <f t="shared" si="6"/>
        <v>1300.08</v>
      </c>
      <c r="I39" s="12">
        <v>0</v>
      </c>
      <c r="J39" s="5">
        <v>0</v>
      </c>
      <c r="K39" s="12">
        <v>0</v>
      </c>
      <c r="L39" s="5">
        <v>0</v>
      </c>
      <c r="M39" s="5">
        <v>99762</v>
      </c>
      <c r="N39" s="5">
        <f t="shared" si="0"/>
        <v>-99762</v>
      </c>
      <c r="O39" s="5">
        <v>1871.64</v>
      </c>
      <c r="P39" s="5">
        <v>1871.64</v>
      </c>
      <c r="Q39" s="5">
        <v>0</v>
      </c>
      <c r="R39" s="5">
        <f t="shared" si="1"/>
        <v>1871.64</v>
      </c>
      <c r="S39" s="12"/>
      <c r="T39" s="5"/>
      <c r="U39" s="5">
        <v>0</v>
      </c>
      <c r="V39" s="5">
        <f t="shared" si="2"/>
        <v>0</v>
      </c>
      <c r="W39" s="5"/>
      <c r="X39" s="5"/>
      <c r="Y39" s="5"/>
      <c r="Z39" s="5"/>
      <c r="AA39" s="14">
        <f t="shared" si="3"/>
        <v>-96590.28</v>
      </c>
    </row>
    <row r="40" spans="1:27" ht="12.75">
      <c r="A40" s="5">
        <f t="shared" si="4"/>
        <v>32</v>
      </c>
      <c r="B40" s="5" t="s">
        <v>146</v>
      </c>
      <c r="C40" s="5">
        <v>7596.6</v>
      </c>
      <c r="D40" s="5">
        <v>4846.2</v>
      </c>
      <c r="E40" s="5">
        <v>6701.69</v>
      </c>
      <c r="F40" s="5">
        <v>4238.07</v>
      </c>
      <c r="G40" s="5">
        <v>0</v>
      </c>
      <c r="H40" s="5">
        <f t="shared" si="6"/>
        <v>10939.759999999998</v>
      </c>
      <c r="I40" s="12">
        <v>8083.72</v>
      </c>
      <c r="J40" s="12">
        <v>5013</v>
      </c>
      <c r="K40" s="12">
        <v>6877.73</v>
      </c>
      <c r="L40" s="12">
        <v>5797.05</v>
      </c>
      <c r="M40" s="5">
        <v>0</v>
      </c>
      <c r="N40" s="5">
        <f t="shared" si="0"/>
        <v>12674.779999999999</v>
      </c>
      <c r="O40" s="5">
        <v>15419.64</v>
      </c>
      <c r="P40" s="5">
        <v>13249.3</v>
      </c>
      <c r="Q40" s="5">
        <v>0</v>
      </c>
      <c r="R40" s="5">
        <f t="shared" si="1"/>
        <v>13249.3</v>
      </c>
      <c r="S40" s="12">
        <v>15890.66</v>
      </c>
      <c r="T40" s="12">
        <v>15652.32</v>
      </c>
      <c r="U40" s="5">
        <v>13323</v>
      </c>
      <c r="V40" s="5">
        <f t="shared" si="2"/>
        <v>2329.3199999999997</v>
      </c>
      <c r="W40" s="5">
        <f>4229.06+1070.7</f>
        <v>5299.76</v>
      </c>
      <c r="X40" s="5">
        <v>6718.92</v>
      </c>
      <c r="Y40" s="5"/>
      <c r="Z40" s="12">
        <v>2598.02</v>
      </c>
      <c r="AA40" s="14">
        <f t="shared" si="3"/>
        <v>29772.499999999996</v>
      </c>
    </row>
    <row r="41" spans="1:27" s="1" customFormat="1" ht="12.75">
      <c r="A41" s="5">
        <f t="shared" si="4"/>
        <v>33</v>
      </c>
      <c r="B41" s="5" t="s">
        <v>147</v>
      </c>
      <c r="C41" s="5">
        <v>416.16</v>
      </c>
      <c r="D41" s="5">
        <v>420.36</v>
      </c>
      <c r="E41" s="5">
        <v>382.41</v>
      </c>
      <c r="F41" s="5">
        <v>420.36</v>
      </c>
      <c r="G41" s="5">
        <v>0</v>
      </c>
      <c r="H41" s="5">
        <f t="shared" si="6"/>
        <v>802.77</v>
      </c>
      <c r="I41" s="12">
        <v>322.92</v>
      </c>
      <c r="J41" s="12">
        <v>326.16</v>
      </c>
      <c r="K41" s="12">
        <v>393.48</v>
      </c>
      <c r="L41" s="12">
        <v>326.16</v>
      </c>
      <c r="M41" s="5">
        <v>0</v>
      </c>
      <c r="N41" s="5">
        <f t="shared" si="0"/>
        <v>719.6400000000001</v>
      </c>
      <c r="O41" s="5">
        <v>1204.32</v>
      </c>
      <c r="P41" s="5">
        <v>1155.73</v>
      </c>
      <c r="Q41" s="5">
        <v>0</v>
      </c>
      <c r="R41" s="5">
        <f t="shared" si="1"/>
        <v>1155.73</v>
      </c>
      <c r="S41" s="12">
        <v>935.82</v>
      </c>
      <c r="T41" s="12">
        <v>1037.48</v>
      </c>
      <c r="U41" s="5">
        <v>0</v>
      </c>
      <c r="V41" s="5">
        <f t="shared" si="2"/>
        <v>1037.48</v>
      </c>
      <c r="W41" s="5"/>
      <c r="X41" s="5"/>
      <c r="Y41" s="5"/>
      <c r="Z41" s="5"/>
      <c r="AA41" s="14">
        <f t="shared" si="3"/>
        <v>3715.6200000000003</v>
      </c>
    </row>
    <row r="42" spans="1:27" ht="12.75">
      <c r="A42" s="5">
        <f t="shared" si="4"/>
        <v>34</v>
      </c>
      <c r="B42" s="5" t="s">
        <v>148</v>
      </c>
      <c r="C42" s="5">
        <v>78871.05</v>
      </c>
      <c r="D42" s="5">
        <v>3585.65</v>
      </c>
      <c r="E42" s="5">
        <v>75781.26</v>
      </c>
      <c r="F42" s="5">
        <v>2442.41</v>
      </c>
      <c r="G42" s="5">
        <v>0</v>
      </c>
      <c r="H42" s="5">
        <f t="shared" si="6"/>
        <v>78223.67</v>
      </c>
      <c r="I42" s="12">
        <v>82992.03</v>
      </c>
      <c r="J42" s="12">
        <v>2254.5</v>
      </c>
      <c r="K42" s="12">
        <v>83245.97</v>
      </c>
      <c r="L42" s="12">
        <v>8623.12</v>
      </c>
      <c r="M42" s="5">
        <v>0</v>
      </c>
      <c r="N42" s="5">
        <f t="shared" si="0"/>
        <v>91869.09</v>
      </c>
      <c r="O42" s="5">
        <v>100082.54</v>
      </c>
      <c r="P42" s="5">
        <v>94537.98</v>
      </c>
      <c r="Q42" s="5">
        <v>87927</v>
      </c>
      <c r="R42" s="5">
        <f t="shared" si="1"/>
        <v>6610.979999999996</v>
      </c>
      <c r="S42" s="12">
        <v>103432.2</v>
      </c>
      <c r="T42" s="12">
        <v>110486.4</v>
      </c>
      <c r="U42" s="5">
        <v>141910</v>
      </c>
      <c r="V42" s="5">
        <f t="shared" si="2"/>
        <v>-31423.600000000006</v>
      </c>
      <c r="W42" s="5">
        <f>18894.3+15359.7</f>
        <v>34254</v>
      </c>
      <c r="X42" s="5">
        <v>32990.44</v>
      </c>
      <c r="Y42" s="5"/>
      <c r="Z42" s="12">
        <v>14409.89</v>
      </c>
      <c r="AA42" s="14">
        <f t="shared" si="3"/>
        <v>92445.58999999998</v>
      </c>
    </row>
    <row r="43" spans="1:27" s="1" customFormat="1" ht="12.75">
      <c r="A43" s="5">
        <f t="shared" si="4"/>
        <v>35</v>
      </c>
      <c r="B43" s="5" t="s">
        <v>149</v>
      </c>
      <c r="C43" s="5">
        <v>530.4</v>
      </c>
      <c r="D43" s="5">
        <v>637.56</v>
      </c>
      <c r="E43" s="5">
        <v>179.74</v>
      </c>
      <c r="F43" s="5">
        <v>584.43</v>
      </c>
      <c r="G43" s="5">
        <v>0</v>
      </c>
      <c r="H43" s="5">
        <f aca="true" t="shared" si="7" ref="H43:H53">E43+F43-G43</f>
        <v>764.17</v>
      </c>
      <c r="I43" s="12">
        <v>228.6</v>
      </c>
      <c r="J43" s="12">
        <v>274.8</v>
      </c>
      <c r="K43" s="12">
        <v>0</v>
      </c>
      <c r="L43" s="12">
        <v>327.93</v>
      </c>
      <c r="M43" s="5">
        <v>0</v>
      </c>
      <c r="N43" s="5">
        <f t="shared" si="0"/>
        <v>327.93</v>
      </c>
      <c r="O43" s="5">
        <v>1681.44</v>
      </c>
      <c r="P43" s="5">
        <v>127.26</v>
      </c>
      <c r="Q43" s="5">
        <v>0</v>
      </c>
      <c r="R43" s="5">
        <f t="shared" si="1"/>
        <v>127.26</v>
      </c>
      <c r="S43" s="12">
        <v>725.7</v>
      </c>
      <c r="T43" s="12">
        <v>1314.03</v>
      </c>
      <c r="U43" s="5">
        <v>0</v>
      </c>
      <c r="V43" s="5">
        <f t="shared" si="2"/>
        <v>1314.03</v>
      </c>
      <c r="W43" s="5"/>
      <c r="X43" s="5"/>
      <c r="Y43" s="5"/>
      <c r="Z43" s="5"/>
      <c r="AA43" s="14">
        <f t="shared" si="3"/>
        <v>2533.39</v>
      </c>
    </row>
    <row r="44" spans="1:27" ht="12.75">
      <c r="A44" s="5">
        <f t="shared" si="4"/>
        <v>36</v>
      </c>
      <c r="B44" s="5" t="s">
        <v>150</v>
      </c>
      <c r="C44" s="5">
        <v>14970.6</v>
      </c>
      <c r="D44" s="5">
        <v>695.48</v>
      </c>
      <c r="E44" s="5">
        <v>13807.02</v>
      </c>
      <c r="F44" s="5">
        <v>695.48</v>
      </c>
      <c r="G44" s="5">
        <v>0</v>
      </c>
      <c r="H44" s="5">
        <f t="shared" si="7"/>
        <v>14502.5</v>
      </c>
      <c r="I44" s="12">
        <v>15818.4</v>
      </c>
      <c r="J44" s="12">
        <v>376.2</v>
      </c>
      <c r="K44" s="12">
        <v>14169.75</v>
      </c>
      <c r="L44" s="12">
        <v>344.85</v>
      </c>
      <c r="M44" s="5">
        <v>0</v>
      </c>
      <c r="N44" s="5">
        <f t="shared" si="0"/>
        <v>14514.6</v>
      </c>
      <c r="O44" s="5">
        <v>19013.92</v>
      </c>
      <c r="P44" s="5">
        <v>15166.52</v>
      </c>
      <c r="Q44" s="5">
        <v>4186</v>
      </c>
      <c r="R44" s="5">
        <f t="shared" si="1"/>
        <v>10980.52</v>
      </c>
      <c r="S44" s="12">
        <v>19649.52</v>
      </c>
      <c r="T44" s="12">
        <v>17188.81</v>
      </c>
      <c r="U44" s="5">
        <v>828</v>
      </c>
      <c r="V44" s="5">
        <f t="shared" si="2"/>
        <v>16360.810000000001</v>
      </c>
      <c r="W44" s="5">
        <f>2044.66+1902.76</f>
        <v>3947.42</v>
      </c>
      <c r="X44" s="5">
        <v>3650.92</v>
      </c>
      <c r="Y44" s="5"/>
      <c r="Z44" s="12">
        <v>1005.96</v>
      </c>
      <c r="AA44" s="14">
        <f t="shared" si="3"/>
        <v>49766.049999999996</v>
      </c>
    </row>
    <row r="45" spans="1:27" ht="12.75">
      <c r="A45" s="5">
        <f t="shared" si="4"/>
        <v>37</v>
      </c>
      <c r="B45" s="5" t="s">
        <v>151</v>
      </c>
      <c r="C45" s="5">
        <v>9869.76</v>
      </c>
      <c r="D45" s="5">
        <v>0</v>
      </c>
      <c r="E45" s="5">
        <v>9394.52</v>
      </c>
      <c r="F45" s="5">
        <v>0</v>
      </c>
      <c r="G45" s="5">
        <v>0</v>
      </c>
      <c r="H45" s="5">
        <f t="shared" si="7"/>
        <v>9394.52</v>
      </c>
      <c r="I45" s="12">
        <v>10208.7</v>
      </c>
      <c r="J45" s="5">
        <v>0</v>
      </c>
      <c r="K45" s="12">
        <v>10639.16</v>
      </c>
      <c r="L45" s="5"/>
      <c r="M45" s="5">
        <v>0</v>
      </c>
      <c r="N45" s="5">
        <f t="shared" si="0"/>
        <v>10639.16</v>
      </c>
      <c r="O45" s="5">
        <v>11979.24</v>
      </c>
      <c r="P45" s="5">
        <v>10635.1</v>
      </c>
      <c r="Q45" s="5">
        <v>10771</v>
      </c>
      <c r="R45" s="5">
        <f t="shared" si="1"/>
        <v>-135.89999999999964</v>
      </c>
      <c r="S45" s="12">
        <v>12386.64</v>
      </c>
      <c r="T45" s="12">
        <v>13659.27</v>
      </c>
      <c r="U45" s="5">
        <v>1070</v>
      </c>
      <c r="V45" s="5">
        <f t="shared" si="2"/>
        <v>12589.27</v>
      </c>
      <c r="W45" s="5">
        <f>1939.31+2745.56</f>
        <v>4684.87</v>
      </c>
      <c r="X45" s="5">
        <v>4009.64</v>
      </c>
      <c r="Y45" s="5"/>
      <c r="Z45" s="12">
        <v>1255.71</v>
      </c>
      <c r="AA45" s="14">
        <f t="shared" si="3"/>
        <v>25048.25</v>
      </c>
    </row>
    <row r="46" spans="1:27" ht="12.75">
      <c r="A46" s="5">
        <f t="shared" si="4"/>
        <v>38</v>
      </c>
      <c r="B46" s="5" t="s">
        <v>153</v>
      </c>
      <c r="C46" s="5">
        <v>10419.6</v>
      </c>
      <c r="D46" s="5">
        <v>1680.96</v>
      </c>
      <c r="E46" s="7">
        <v>10272.97</v>
      </c>
      <c r="F46" s="5">
        <v>682.22</v>
      </c>
      <c r="G46" s="5">
        <v>95665</v>
      </c>
      <c r="H46" s="5">
        <f t="shared" si="7"/>
        <v>-84709.81</v>
      </c>
      <c r="I46" s="12">
        <v>10778.4</v>
      </c>
      <c r="J46" s="12">
        <v>1738.8</v>
      </c>
      <c r="K46" s="12">
        <v>10711.27</v>
      </c>
      <c r="L46" s="12">
        <v>2198.01</v>
      </c>
      <c r="M46" s="5">
        <v>0</v>
      </c>
      <c r="N46" s="5">
        <f t="shared" si="0"/>
        <v>12909.28</v>
      </c>
      <c r="O46" s="5">
        <v>14686.68</v>
      </c>
      <c r="P46" s="5">
        <v>12773.2</v>
      </c>
      <c r="Q46" s="5">
        <v>23064</v>
      </c>
      <c r="R46" s="5">
        <f t="shared" si="1"/>
        <v>-10290.8</v>
      </c>
      <c r="S46" s="12">
        <v>15187.68</v>
      </c>
      <c r="T46" s="12">
        <v>13357.41</v>
      </c>
      <c r="U46" s="5">
        <v>27319</v>
      </c>
      <c r="V46" s="5">
        <f t="shared" si="2"/>
        <v>-13961.59</v>
      </c>
      <c r="W46" s="5">
        <f>2773.51+649.3</f>
        <v>3422.8100000000004</v>
      </c>
      <c r="X46" s="5">
        <v>5319.44</v>
      </c>
      <c r="Y46" s="5"/>
      <c r="Z46" s="12">
        <v>410.06</v>
      </c>
      <c r="AA46" s="14">
        <f t="shared" si="3"/>
        <v>-104385.11</v>
      </c>
    </row>
    <row r="47" spans="1:27" ht="12.75">
      <c r="A47" s="5">
        <f t="shared" si="4"/>
        <v>39</v>
      </c>
      <c r="B47" s="5" t="s">
        <v>152</v>
      </c>
      <c r="C47" s="5">
        <v>9627.72</v>
      </c>
      <c r="D47" s="5">
        <v>0</v>
      </c>
      <c r="E47" s="5">
        <v>8811.6</v>
      </c>
      <c r="F47" s="5">
        <v>0</v>
      </c>
      <c r="G47" s="5">
        <v>0</v>
      </c>
      <c r="H47" s="5">
        <f t="shared" si="7"/>
        <v>8811.6</v>
      </c>
      <c r="I47" s="12">
        <v>9959.52</v>
      </c>
      <c r="J47" s="5">
        <v>0</v>
      </c>
      <c r="K47" s="12">
        <v>8099.91</v>
      </c>
      <c r="L47" s="5">
        <v>0</v>
      </c>
      <c r="M47" s="5">
        <v>0</v>
      </c>
      <c r="N47" s="5">
        <f t="shared" si="0"/>
        <v>8099.91</v>
      </c>
      <c r="O47" s="5">
        <v>11685.72</v>
      </c>
      <c r="P47" s="5">
        <v>9706.88</v>
      </c>
      <c r="Q47" s="5">
        <v>498</v>
      </c>
      <c r="R47" s="5">
        <f t="shared" si="1"/>
        <v>9208.88</v>
      </c>
      <c r="S47" s="12">
        <v>12084.36</v>
      </c>
      <c r="T47" s="12">
        <v>9729.26</v>
      </c>
      <c r="U47" s="5">
        <v>0</v>
      </c>
      <c r="V47" s="5">
        <f t="shared" si="2"/>
        <v>9729.26</v>
      </c>
      <c r="W47" s="5">
        <f>840.65+1320.1</f>
        <v>2160.75</v>
      </c>
      <c r="X47" s="5">
        <f>1198.88+325.68</f>
        <v>1524.5600000000002</v>
      </c>
      <c r="Y47" s="5"/>
      <c r="Z47" s="12">
        <v>420.7</v>
      </c>
      <c r="AA47" s="14">
        <f t="shared" si="3"/>
        <v>32585.04</v>
      </c>
    </row>
    <row r="48" spans="1:27" ht="12.75">
      <c r="A48" s="5">
        <f t="shared" si="4"/>
        <v>40</v>
      </c>
      <c r="B48" s="5" t="s">
        <v>154</v>
      </c>
      <c r="C48" s="5">
        <v>12455.4</v>
      </c>
      <c r="D48" s="5">
        <v>0</v>
      </c>
      <c r="E48" s="5">
        <v>13226.25</v>
      </c>
      <c r="F48" s="5">
        <v>0</v>
      </c>
      <c r="G48" s="5">
        <v>35547</v>
      </c>
      <c r="H48" s="5">
        <f t="shared" si="7"/>
        <v>-22320.75</v>
      </c>
      <c r="I48" s="12">
        <v>12839.4</v>
      </c>
      <c r="J48" s="5">
        <v>0</v>
      </c>
      <c r="K48" s="12">
        <v>12264.33</v>
      </c>
      <c r="L48" s="5">
        <v>0</v>
      </c>
      <c r="M48" s="5">
        <v>0</v>
      </c>
      <c r="N48" s="5">
        <f t="shared" si="0"/>
        <v>12264.33</v>
      </c>
      <c r="O48" s="5">
        <v>15117.6</v>
      </c>
      <c r="P48" s="5">
        <v>14186.95</v>
      </c>
      <c r="Q48" s="5">
        <v>3003</v>
      </c>
      <c r="R48" s="5">
        <f t="shared" si="1"/>
        <v>11183.95</v>
      </c>
      <c r="S48" s="12">
        <v>15578.28</v>
      </c>
      <c r="T48" s="12">
        <v>14626.53</v>
      </c>
      <c r="U48" s="5">
        <v>51</v>
      </c>
      <c r="V48" s="5">
        <f t="shared" si="2"/>
        <v>14575.53</v>
      </c>
      <c r="W48" s="5">
        <f>1455.55+1242.7</f>
        <v>2698.25</v>
      </c>
      <c r="X48" s="5">
        <v>1805.4</v>
      </c>
      <c r="Y48" s="5"/>
      <c r="Z48" s="12">
        <v>525.04</v>
      </c>
      <c r="AA48" s="14">
        <f t="shared" si="3"/>
        <v>11724.45</v>
      </c>
    </row>
    <row r="49" spans="1:27" ht="25.5">
      <c r="A49" s="5">
        <f t="shared" si="4"/>
        <v>41</v>
      </c>
      <c r="B49" s="5" t="s">
        <v>155</v>
      </c>
      <c r="C49" s="9">
        <v>11256.46</v>
      </c>
      <c r="D49" s="5">
        <v>850.92</v>
      </c>
      <c r="E49" s="5">
        <v>9301.54</v>
      </c>
      <c r="F49" s="5">
        <v>850.92</v>
      </c>
      <c r="G49" s="5">
        <v>0</v>
      </c>
      <c r="H49" s="5">
        <f t="shared" si="7"/>
        <v>10152.460000000001</v>
      </c>
      <c r="I49" s="12">
        <v>11946.6</v>
      </c>
      <c r="J49" s="5">
        <v>0</v>
      </c>
      <c r="K49" s="12">
        <v>10696.11</v>
      </c>
      <c r="L49" s="5">
        <v>0</v>
      </c>
      <c r="M49" s="5">
        <v>23378</v>
      </c>
      <c r="N49" s="5">
        <f t="shared" si="0"/>
        <v>-12681.89</v>
      </c>
      <c r="O49" s="5">
        <v>14695.32</v>
      </c>
      <c r="P49" s="5">
        <v>10996.91</v>
      </c>
      <c r="Q49" s="5">
        <v>6600</v>
      </c>
      <c r="R49" s="5">
        <f t="shared" si="1"/>
        <v>4396.91</v>
      </c>
      <c r="S49" s="12">
        <v>15207.12</v>
      </c>
      <c r="T49" s="12">
        <v>13138.12</v>
      </c>
      <c r="U49" s="5">
        <v>0</v>
      </c>
      <c r="V49" s="5">
        <f t="shared" si="2"/>
        <v>13138.12</v>
      </c>
      <c r="W49" s="5">
        <f>419.25+4487.07</f>
        <v>4906.32</v>
      </c>
      <c r="X49" s="5">
        <v>667.88</v>
      </c>
      <c r="Y49" s="5"/>
      <c r="Z49" s="12">
        <v>210.81</v>
      </c>
      <c r="AA49" s="14">
        <f t="shared" si="3"/>
        <v>9642.210000000003</v>
      </c>
    </row>
    <row r="50" spans="1:27" ht="25.5">
      <c r="A50" s="5">
        <f t="shared" si="4"/>
        <v>42</v>
      </c>
      <c r="B50" s="5" t="s">
        <v>156</v>
      </c>
      <c r="C50" s="5">
        <v>6072.56</v>
      </c>
      <c r="D50" s="5">
        <v>720.94</v>
      </c>
      <c r="E50" s="5">
        <v>6193.59</v>
      </c>
      <c r="F50" s="5">
        <v>393.24</v>
      </c>
      <c r="G50" s="5">
        <v>19396</v>
      </c>
      <c r="H50" s="5">
        <f t="shared" si="7"/>
        <v>-12809.17</v>
      </c>
      <c r="I50" s="12">
        <v>7077.75</v>
      </c>
      <c r="J50" s="5">
        <v>0</v>
      </c>
      <c r="K50" s="12">
        <v>7095.42</v>
      </c>
      <c r="L50" s="5">
        <v>0</v>
      </c>
      <c r="M50" s="5">
        <v>18840</v>
      </c>
      <c r="N50" s="5">
        <f t="shared" si="0"/>
        <v>-11744.58</v>
      </c>
      <c r="O50" s="5">
        <v>8245.58</v>
      </c>
      <c r="P50" s="5">
        <v>7774.2</v>
      </c>
      <c r="Q50" s="5">
        <v>0</v>
      </c>
      <c r="R50" s="5">
        <f t="shared" si="1"/>
        <v>7774.2</v>
      </c>
      <c r="S50" s="12">
        <v>8587.57</v>
      </c>
      <c r="T50" s="12">
        <v>8546.77</v>
      </c>
      <c r="U50" s="5">
        <v>0</v>
      </c>
      <c r="V50" s="5">
        <f t="shared" si="2"/>
        <v>8546.77</v>
      </c>
      <c r="W50" s="5">
        <f>750.35+989</f>
        <v>1739.35</v>
      </c>
      <c r="X50" s="5">
        <v>1682.68</v>
      </c>
      <c r="Y50" s="5"/>
      <c r="Z50" s="12">
        <v>537.87</v>
      </c>
      <c r="AA50" s="14">
        <f t="shared" si="3"/>
        <v>-11116.939999999999</v>
      </c>
    </row>
    <row r="51" spans="1:27" ht="12.75">
      <c r="A51" s="5">
        <f t="shared" si="4"/>
        <v>43</v>
      </c>
      <c r="B51" s="5" t="s">
        <v>157</v>
      </c>
      <c r="C51" s="5">
        <v>12621.63</v>
      </c>
      <c r="D51" s="5">
        <v>1393.8</v>
      </c>
      <c r="E51" s="5">
        <v>12502.64</v>
      </c>
      <c r="F51" s="5">
        <v>1796.64</v>
      </c>
      <c r="G51" s="5">
        <v>55160</v>
      </c>
      <c r="H51" s="5">
        <f t="shared" si="7"/>
        <v>-40860.72</v>
      </c>
      <c r="I51" s="12">
        <v>13023</v>
      </c>
      <c r="J51" s="12">
        <v>1441.8</v>
      </c>
      <c r="K51" s="12">
        <v>13260</v>
      </c>
      <c r="L51" s="12">
        <v>1103.33</v>
      </c>
      <c r="M51" s="5">
        <v>25145</v>
      </c>
      <c r="N51" s="5">
        <f t="shared" si="0"/>
        <v>-10781.67</v>
      </c>
      <c r="O51" s="5">
        <v>17011.05</v>
      </c>
      <c r="P51" s="5">
        <v>16363.19</v>
      </c>
      <c r="Q51" s="5">
        <v>171</v>
      </c>
      <c r="R51" s="5">
        <f t="shared" si="1"/>
        <v>16192.19</v>
      </c>
      <c r="S51" s="12">
        <v>17550.6</v>
      </c>
      <c r="T51" s="12">
        <v>17129.12</v>
      </c>
      <c r="U51" s="5">
        <v>21576</v>
      </c>
      <c r="V51" s="5">
        <f t="shared" si="2"/>
        <v>-4446.880000000001</v>
      </c>
      <c r="W51" s="5">
        <f>2949.81+2754.16</f>
        <v>5703.969999999999</v>
      </c>
      <c r="X51" s="5">
        <v>4524.12</v>
      </c>
      <c r="Y51" s="5"/>
      <c r="Z51" s="12">
        <v>1199.32</v>
      </c>
      <c r="AA51" s="14">
        <f t="shared" si="3"/>
        <v>-48925.850000000006</v>
      </c>
    </row>
    <row r="52" spans="1:27" ht="12.75">
      <c r="A52" s="5">
        <f t="shared" si="4"/>
        <v>44</v>
      </c>
      <c r="B52" s="5" t="s">
        <v>158</v>
      </c>
      <c r="C52" s="5">
        <v>6547.92</v>
      </c>
      <c r="D52" s="5">
        <v>0</v>
      </c>
      <c r="E52" s="5">
        <v>6016.92</v>
      </c>
      <c r="F52" s="5">
        <v>0</v>
      </c>
      <c r="G52" s="5">
        <v>0</v>
      </c>
      <c r="H52" s="5">
        <f t="shared" si="7"/>
        <v>6016.92</v>
      </c>
      <c r="I52" s="12">
        <v>6773.4</v>
      </c>
      <c r="J52" s="5"/>
      <c r="K52" s="12">
        <v>6776.48</v>
      </c>
      <c r="L52" s="5">
        <v>0</v>
      </c>
      <c r="M52" s="5">
        <v>0</v>
      </c>
      <c r="N52" s="5">
        <f t="shared" si="0"/>
        <v>6776.48</v>
      </c>
      <c r="O52" s="5">
        <v>7947.48</v>
      </c>
      <c r="P52" s="5">
        <v>7084.35</v>
      </c>
      <c r="Q52" s="5">
        <v>795</v>
      </c>
      <c r="R52" s="5">
        <f t="shared" si="1"/>
        <v>6289.35</v>
      </c>
      <c r="S52" s="12">
        <v>8218.44</v>
      </c>
      <c r="T52" s="12">
        <v>7995.28</v>
      </c>
      <c r="U52" s="5">
        <v>1205</v>
      </c>
      <c r="V52" s="5">
        <f t="shared" si="2"/>
        <v>6790.28</v>
      </c>
      <c r="W52" s="5">
        <f>303.15+651.45</f>
        <v>954.6</v>
      </c>
      <c r="X52" s="5">
        <v>667.88</v>
      </c>
      <c r="Y52" s="5"/>
      <c r="Z52" s="12">
        <v>179.34</v>
      </c>
      <c r="AA52" s="14">
        <f t="shared" si="3"/>
        <v>24429.89</v>
      </c>
    </row>
    <row r="53" spans="1:27" ht="12.75">
      <c r="A53" s="5">
        <f t="shared" si="4"/>
        <v>45</v>
      </c>
      <c r="B53" s="5" t="s">
        <v>159</v>
      </c>
      <c r="C53" s="5">
        <v>4746.96</v>
      </c>
      <c r="D53" s="5">
        <v>1430.28</v>
      </c>
      <c r="E53" s="5">
        <v>4503.41</v>
      </c>
      <c r="F53" s="5">
        <v>1397.6</v>
      </c>
      <c r="G53" s="5">
        <v>0</v>
      </c>
      <c r="H53" s="5">
        <f t="shared" si="7"/>
        <v>5901.01</v>
      </c>
      <c r="I53" s="12">
        <v>5586.9</v>
      </c>
      <c r="J53" s="12">
        <v>803.1</v>
      </c>
      <c r="K53" s="12">
        <v>5633.23</v>
      </c>
      <c r="L53" s="12">
        <v>922.58</v>
      </c>
      <c r="M53" s="5">
        <v>0</v>
      </c>
      <c r="N53" s="5">
        <f t="shared" si="0"/>
        <v>6555.8099999999995</v>
      </c>
      <c r="O53" s="5">
        <v>7497.6</v>
      </c>
      <c r="P53" s="5">
        <v>7218.55</v>
      </c>
      <c r="Q53" s="5">
        <v>3027</v>
      </c>
      <c r="R53" s="5">
        <f t="shared" si="1"/>
        <v>4191.55</v>
      </c>
      <c r="S53" s="12">
        <v>7753.08</v>
      </c>
      <c r="T53" s="12">
        <v>8081.22</v>
      </c>
      <c r="U53" s="5">
        <v>0</v>
      </c>
      <c r="V53" s="5">
        <f t="shared" si="2"/>
        <v>8081.22</v>
      </c>
      <c r="W53" s="5">
        <v>2089.81</v>
      </c>
      <c r="X53" s="5">
        <f>49.56+1227.2</f>
        <v>1276.76</v>
      </c>
      <c r="Y53" s="5"/>
      <c r="Z53" s="12">
        <v>212.66</v>
      </c>
      <c r="AA53" s="14">
        <f t="shared" si="3"/>
        <v>21575.68</v>
      </c>
    </row>
    <row r="54" spans="1:27" ht="12.75">
      <c r="A54" s="5">
        <f t="shared" si="4"/>
        <v>46</v>
      </c>
      <c r="B54" s="5" t="s">
        <v>160</v>
      </c>
      <c r="C54" s="5">
        <v>3224.55</v>
      </c>
      <c r="D54" s="5">
        <v>549.84</v>
      </c>
      <c r="E54" s="5">
        <v>3167.13</v>
      </c>
      <c r="F54" s="5">
        <v>549.84</v>
      </c>
      <c r="G54" s="5">
        <v>0</v>
      </c>
      <c r="H54" s="5">
        <f>E54+F54-G54</f>
        <v>3716.9700000000003</v>
      </c>
      <c r="I54" s="12">
        <v>3333.6</v>
      </c>
      <c r="J54" s="12"/>
      <c r="K54" s="12">
        <v>3207.16</v>
      </c>
      <c r="L54" s="5">
        <v>0</v>
      </c>
      <c r="M54" s="5">
        <v>0</v>
      </c>
      <c r="N54" s="5">
        <f t="shared" si="0"/>
        <v>3207.16</v>
      </c>
      <c r="O54" s="5">
        <v>5434.02</v>
      </c>
      <c r="P54" s="5">
        <v>5348.93</v>
      </c>
      <c r="Q54" s="5">
        <v>4017</v>
      </c>
      <c r="R54" s="5">
        <f t="shared" si="1"/>
        <v>1331.9300000000003</v>
      </c>
      <c r="S54" s="12">
        <v>5625.96</v>
      </c>
      <c r="T54" s="12">
        <v>5497.93</v>
      </c>
      <c r="U54" s="5">
        <v>0</v>
      </c>
      <c r="V54" s="5">
        <f t="shared" si="2"/>
        <v>5497.93</v>
      </c>
      <c r="W54" s="5">
        <v>2786.41</v>
      </c>
      <c r="X54" s="5">
        <f>981.76+1437.24</f>
        <v>2419</v>
      </c>
      <c r="Y54" s="5"/>
      <c r="Z54" s="12">
        <v>324.1</v>
      </c>
      <c r="AA54" s="14">
        <f t="shared" si="3"/>
        <v>8872.680000000002</v>
      </c>
    </row>
    <row r="55" spans="1:27" ht="12.75">
      <c r="A55" s="5">
        <f t="shared" si="4"/>
        <v>47</v>
      </c>
      <c r="B55" s="5" t="s">
        <v>161</v>
      </c>
      <c r="C55" s="5">
        <v>2486.57</v>
      </c>
      <c r="D55" s="5">
        <v>17907.55</v>
      </c>
      <c r="E55" s="5">
        <v>2126.67</v>
      </c>
      <c r="F55" s="5">
        <v>15938.96</v>
      </c>
      <c r="G55" s="5">
        <v>0</v>
      </c>
      <c r="H55" s="5">
        <f>E55+F55-G55</f>
        <v>18065.629999999997</v>
      </c>
      <c r="I55" s="12">
        <v>12962.4</v>
      </c>
      <c r="J55" s="12">
        <v>8159.7</v>
      </c>
      <c r="K55" s="12">
        <v>12836.77</v>
      </c>
      <c r="L55" s="12">
        <v>7672.39</v>
      </c>
      <c r="M55" s="5">
        <v>0</v>
      </c>
      <c r="N55" s="5">
        <f t="shared" si="0"/>
        <v>20509.16</v>
      </c>
      <c r="O55" s="5">
        <v>11110.41</v>
      </c>
      <c r="P55" s="5">
        <v>10319.41</v>
      </c>
      <c r="Q55" s="5">
        <v>13508</v>
      </c>
      <c r="R55" s="5">
        <f t="shared" si="1"/>
        <v>-3188.59</v>
      </c>
      <c r="S55" s="12">
        <v>11546.83</v>
      </c>
      <c r="T55" s="12">
        <v>10564.62</v>
      </c>
      <c r="U55" s="5">
        <v>13205</v>
      </c>
      <c r="V55" s="5">
        <f t="shared" si="2"/>
        <v>-2640.379999999999</v>
      </c>
      <c r="W55" s="5">
        <f>184703+34618.6</f>
        <v>219321.6</v>
      </c>
      <c r="X55" s="5">
        <v>256645.3</v>
      </c>
      <c r="Y55" s="5">
        <v>166094.36</v>
      </c>
      <c r="Z55" s="12">
        <v>2839.17</v>
      </c>
      <c r="AA55" s="14">
        <f t="shared" si="3"/>
        <v>-274287.55</v>
      </c>
    </row>
    <row r="56" spans="1:27" ht="12.75">
      <c r="A56" s="5">
        <f t="shared" si="4"/>
        <v>48</v>
      </c>
      <c r="B56" s="5" t="s">
        <v>162</v>
      </c>
      <c r="C56" s="5">
        <v>41055.45</v>
      </c>
      <c r="D56" s="5">
        <v>1675.04</v>
      </c>
      <c r="E56" s="5">
        <v>40751.85</v>
      </c>
      <c r="F56" s="5">
        <v>1465.08</v>
      </c>
      <c r="G56" s="5">
        <v>14927</v>
      </c>
      <c r="H56" s="5">
        <f aca="true" t="shared" si="8" ref="H56:H61">E56+F56-G56</f>
        <v>27289.93</v>
      </c>
      <c r="I56" s="12">
        <v>43212.72</v>
      </c>
      <c r="J56" s="12">
        <v>993.6</v>
      </c>
      <c r="K56" s="12">
        <v>41615.86</v>
      </c>
      <c r="L56" s="12">
        <v>1073.64</v>
      </c>
      <c r="M56" s="5">
        <v>0</v>
      </c>
      <c r="N56" s="5">
        <f t="shared" si="0"/>
        <v>42689.5</v>
      </c>
      <c r="O56" s="5">
        <v>51864.07</v>
      </c>
      <c r="P56" s="5">
        <v>50816.72</v>
      </c>
      <c r="Q56" s="5">
        <v>186942</v>
      </c>
      <c r="R56" s="5">
        <f t="shared" si="1"/>
        <v>-136125.28</v>
      </c>
      <c r="S56" s="12">
        <v>53636.67</v>
      </c>
      <c r="T56" s="12">
        <v>52580.42</v>
      </c>
      <c r="U56" s="5">
        <v>5056</v>
      </c>
      <c r="V56" s="5">
        <f t="shared" si="2"/>
        <v>47524.42</v>
      </c>
      <c r="W56" s="5">
        <f>5067.57+1922.11</f>
        <v>6989.679999999999</v>
      </c>
      <c r="X56" s="5">
        <v>5888.2</v>
      </c>
      <c r="Y56" s="5"/>
      <c r="Z56" s="12">
        <v>1619.57</v>
      </c>
      <c r="AA56" s="14">
        <f t="shared" si="3"/>
        <v>-29879.74000000001</v>
      </c>
    </row>
    <row r="57" spans="1:27" ht="12.75">
      <c r="A57" s="5">
        <f t="shared" si="4"/>
        <v>49</v>
      </c>
      <c r="B57" s="5" t="s">
        <v>163</v>
      </c>
      <c r="C57" s="5">
        <v>40556.88</v>
      </c>
      <c r="D57" s="5">
        <v>4754.96</v>
      </c>
      <c r="E57" s="7">
        <v>37796.98</v>
      </c>
      <c r="F57" s="5">
        <v>3655.27</v>
      </c>
      <c r="G57" s="5">
        <v>13990</v>
      </c>
      <c r="H57" s="5">
        <f t="shared" si="8"/>
        <v>27462.25</v>
      </c>
      <c r="I57" s="12">
        <v>43036.37</v>
      </c>
      <c r="J57" s="12">
        <v>3718.05</v>
      </c>
      <c r="K57" s="12">
        <v>44006.76</v>
      </c>
      <c r="L57" s="12">
        <v>4360.29</v>
      </c>
      <c r="M57" s="5">
        <v>0</v>
      </c>
      <c r="N57" s="5">
        <f t="shared" si="0"/>
        <v>48367.05</v>
      </c>
      <c r="O57" s="5">
        <v>55073.82</v>
      </c>
      <c r="P57" s="5">
        <v>50109.3</v>
      </c>
      <c r="Q57" s="5">
        <v>267104</v>
      </c>
      <c r="R57" s="5">
        <f t="shared" si="1"/>
        <v>-216994.7</v>
      </c>
      <c r="S57" s="12">
        <v>56728.61</v>
      </c>
      <c r="T57" s="12">
        <v>56915.58</v>
      </c>
      <c r="U57" s="5">
        <v>2217</v>
      </c>
      <c r="V57" s="5">
        <f t="shared" si="2"/>
        <v>54698.58</v>
      </c>
      <c r="W57" s="5">
        <f>4330.11+12796.8</f>
        <v>17126.91</v>
      </c>
      <c r="X57" s="5">
        <f>5435.08+1288.56</f>
        <v>6723.639999999999</v>
      </c>
      <c r="Y57" s="5"/>
      <c r="Z57" s="12">
        <v>2825.56</v>
      </c>
      <c r="AA57" s="14">
        <f t="shared" si="3"/>
        <v>-107491.81000000003</v>
      </c>
    </row>
    <row r="58" spans="1:27" s="1" customFormat="1" ht="12.75">
      <c r="A58" s="5">
        <f t="shared" si="4"/>
        <v>50</v>
      </c>
      <c r="B58" s="5" t="s">
        <v>164</v>
      </c>
      <c r="C58" s="5">
        <v>1389.12</v>
      </c>
      <c r="D58" s="5">
        <v>0</v>
      </c>
      <c r="E58" s="5">
        <v>1404.47</v>
      </c>
      <c r="F58" s="5">
        <v>0</v>
      </c>
      <c r="G58" s="5">
        <v>0</v>
      </c>
      <c r="H58" s="5">
        <f t="shared" si="8"/>
        <v>1404.47</v>
      </c>
      <c r="I58" s="12">
        <v>597.72</v>
      </c>
      <c r="J58" s="5">
        <v>0</v>
      </c>
      <c r="K58" s="12">
        <v>537.84</v>
      </c>
      <c r="L58" s="5">
        <v>0</v>
      </c>
      <c r="M58" s="5">
        <v>0</v>
      </c>
      <c r="N58" s="5">
        <f t="shared" si="0"/>
        <v>537.84</v>
      </c>
      <c r="O58" s="5">
        <v>1999.92</v>
      </c>
      <c r="P58" s="5">
        <v>2015.27</v>
      </c>
      <c r="Q58" s="5">
        <v>0</v>
      </c>
      <c r="R58" s="5">
        <f t="shared" si="1"/>
        <v>2015.27</v>
      </c>
      <c r="S58" s="12">
        <v>861.74</v>
      </c>
      <c r="T58" s="12">
        <v>921.62</v>
      </c>
      <c r="U58" s="5">
        <v>0</v>
      </c>
      <c r="V58" s="5">
        <f t="shared" si="2"/>
        <v>921.62</v>
      </c>
      <c r="W58" s="5"/>
      <c r="X58" s="5"/>
      <c r="Y58" s="5"/>
      <c r="Z58" s="5"/>
      <c r="AA58" s="14">
        <f t="shared" si="3"/>
        <v>4879.2</v>
      </c>
    </row>
    <row r="59" spans="1:27" s="1" customFormat="1" ht="12.75">
      <c r="A59" s="5">
        <f t="shared" si="4"/>
        <v>51</v>
      </c>
      <c r="B59" s="5" t="s">
        <v>165</v>
      </c>
      <c r="C59" s="5">
        <v>0</v>
      </c>
      <c r="D59" s="5">
        <v>399.41</v>
      </c>
      <c r="E59" s="5">
        <v>0</v>
      </c>
      <c r="F59" s="5">
        <v>399.41</v>
      </c>
      <c r="G59" s="5">
        <v>0</v>
      </c>
      <c r="H59" s="5">
        <f t="shared" si="8"/>
        <v>399.41</v>
      </c>
      <c r="I59" s="12">
        <v>144.48</v>
      </c>
      <c r="J59" s="5">
        <v>0</v>
      </c>
      <c r="K59" s="12">
        <v>144.48</v>
      </c>
      <c r="L59" s="5">
        <v>0</v>
      </c>
      <c r="M59" s="5">
        <v>0</v>
      </c>
      <c r="N59" s="5">
        <f t="shared" si="0"/>
        <v>144.48</v>
      </c>
      <c r="O59" s="5">
        <v>1252.48</v>
      </c>
      <c r="P59" s="5">
        <v>1252.48</v>
      </c>
      <c r="Q59" s="5">
        <v>0</v>
      </c>
      <c r="R59" s="5">
        <f t="shared" si="1"/>
        <v>1252.48</v>
      </c>
      <c r="S59" s="12">
        <v>208.28</v>
      </c>
      <c r="T59" s="12">
        <v>208.28</v>
      </c>
      <c r="U59" s="5">
        <v>0</v>
      </c>
      <c r="V59" s="5">
        <f t="shared" si="2"/>
        <v>208.28</v>
      </c>
      <c r="W59" s="5"/>
      <c r="X59" s="5"/>
      <c r="Y59" s="5"/>
      <c r="Z59" s="5"/>
      <c r="AA59" s="14">
        <f t="shared" si="3"/>
        <v>2004.6499999999999</v>
      </c>
    </row>
    <row r="60" spans="1:27" ht="28.5" customHeight="1">
      <c r="A60" s="5">
        <f t="shared" si="4"/>
        <v>52</v>
      </c>
      <c r="B60" s="5" t="s">
        <v>166</v>
      </c>
      <c r="C60" s="5">
        <v>134112.83</v>
      </c>
      <c r="D60" s="5">
        <v>29831.81</v>
      </c>
      <c r="E60" s="5">
        <v>129326.85</v>
      </c>
      <c r="F60" s="5">
        <v>26617.1</v>
      </c>
      <c r="G60" s="5">
        <v>43122</v>
      </c>
      <c r="H60" s="5">
        <f t="shared" si="8"/>
        <v>112821.95000000001</v>
      </c>
      <c r="I60" s="12">
        <v>149668.77</v>
      </c>
      <c r="J60" s="12">
        <v>20052.57</v>
      </c>
      <c r="K60" s="12">
        <v>145983</v>
      </c>
      <c r="L60" s="12">
        <v>19072.63</v>
      </c>
      <c r="M60" s="5">
        <v>86482</v>
      </c>
      <c r="N60" s="5">
        <f t="shared" si="0"/>
        <v>78573.63</v>
      </c>
      <c r="O60" s="5">
        <v>209169.72</v>
      </c>
      <c r="P60" s="5">
        <v>199428.67</v>
      </c>
      <c r="Q60" s="5">
        <v>250133</v>
      </c>
      <c r="R60" s="5">
        <f t="shared" si="1"/>
        <v>-50704.32999999999</v>
      </c>
      <c r="S60" s="12">
        <v>217242.78</v>
      </c>
      <c r="T60" s="12">
        <v>214962.35</v>
      </c>
      <c r="U60" s="5">
        <v>62825</v>
      </c>
      <c r="V60" s="5">
        <f t="shared" si="2"/>
        <v>152137.35</v>
      </c>
      <c r="W60" s="5">
        <f>26008.6+54079.1+21814+10081.4</f>
        <v>111983.09999999999</v>
      </c>
      <c r="X60" s="5">
        <f>6740.16+70880.24+31437.56</f>
        <v>109057.96</v>
      </c>
      <c r="Y60" s="5"/>
      <c r="Z60" s="12">
        <v>41176.36</v>
      </c>
      <c r="AA60" s="14">
        <f t="shared" si="3"/>
        <v>112963.90000000005</v>
      </c>
    </row>
    <row r="61" spans="1:27" ht="28.5" customHeight="1">
      <c r="A61" s="5">
        <f t="shared" si="4"/>
        <v>53</v>
      </c>
      <c r="B61" s="5" t="s">
        <v>167</v>
      </c>
      <c r="C61" s="5">
        <v>77348.13</v>
      </c>
      <c r="D61" s="5">
        <v>19970.49</v>
      </c>
      <c r="E61" s="5">
        <v>74429.85</v>
      </c>
      <c r="F61" s="5">
        <v>19330.51</v>
      </c>
      <c r="G61" s="5"/>
      <c r="H61" s="5">
        <f t="shared" si="8"/>
        <v>93760.36</v>
      </c>
      <c r="I61" s="12">
        <v>85673.97</v>
      </c>
      <c r="J61" s="12">
        <v>15229.47</v>
      </c>
      <c r="K61" s="12">
        <v>83481.32</v>
      </c>
      <c r="L61" s="12">
        <v>14246.34</v>
      </c>
      <c r="M61" s="5">
        <v>200891</v>
      </c>
      <c r="N61" s="5">
        <f t="shared" si="0"/>
        <v>-103163.34</v>
      </c>
      <c r="O61" s="5">
        <v>124164.32</v>
      </c>
      <c r="P61" s="5">
        <v>117434.82</v>
      </c>
      <c r="Q61" s="5">
        <v>456356</v>
      </c>
      <c r="R61" s="5">
        <f t="shared" si="1"/>
        <v>-338921.18</v>
      </c>
      <c r="S61" s="12">
        <v>129156.65</v>
      </c>
      <c r="T61" s="12">
        <v>126351.98</v>
      </c>
      <c r="U61" s="5">
        <v>27447</v>
      </c>
      <c r="V61" s="5">
        <f t="shared" si="2"/>
        <v>98904.98</v>
      </c>
      <c r="W61" s="5">
        <f>19958.5+13222.5+16350.8+10283.5</f>
        <v>59815.3</v>
      </c>
      <c r="X61" s="5">
        <f>36407.72+23340.4+3202.52</f>
        <v>62950.64</v>
      </c>
      <c r="Y61" s="5"/>
      <c r="Z61" s="12">
        <v>28871.79</v>
      </c>
      <c r="AA61" s="14">
        <f t="shared" si="3"/>
        <v>-343313.33</v>
      </c>
    </row>
    <row r="62" spans="1:27" ht="25.5">
      <c r="A62" s="5">
        <f t="shared" si="4"/>
        <v>54</v>
      </c>
      <c r="B62" s="5" t="s">
        <v>168</v>
      </c>
      <c r="C62" s="5">
        <v>5390.31</v>
      </c>
      <c r="D62" s="5">
        <v>36479.32</v>
      </c>
      <c r="E62" s="5">
        <v>4755.18</v>
      </c>
      <c r="F62" s="5">
        <v>35557.07</v>
      </c>
      <c r="G62" s="5">
        <v>69528</v>
      </c>
      <c r="H62" s="5">
        <f aca="true" t="shared" si="9" ref="H62:H77">E62+F62-G62</f>
        <v>-29215.75</v>
      </c>
      <c r="I62" s="12">
        <v>21073.74</v>
      </c>
      <c r="J62" s="12">
        <v>22555.8</v>
      </c>
      <c r="K62" s="12">
        <v>21384.91</v>
      </c>
      <c r="L62" s="12">
        <v>21236.99</v>
      </c>
      <c r="M62" s="5">
        <v>130071</v>
      </c>
      <c r="N62" s="5">
        <f t="shared" si="0"/>
        <v>-87449.1</v>
      </c>
      <c r="O62" s="5">
        <v>22809.66</v>
      </c>
      <c r="P62" s="5">
        <v>21799.71</v>
      </c>
      <c r="Q62" s="5">
        <v>63792</v>
      </c>
      <c r="R62" s="5">
        <f t="shared" si="1"/>
        <v>-41992.29</v>
      </c>
      <c r="S62" s="12">
        <v>23882.27</v>
      </c>
      <c r="T62" s="12">
        <v>23800.36</v>
      </c>
      <c r="U62" s="5">
        <v>69976</v>
      </c>
      <c r="V62" s="5">
        <f t="shared" si="2"/>
        <v>-46175.64</v>
      </c>
      <c r="W62" s="5">
        <f>67957.7+27336.1+485902</f>
        <v>581195.8</v>
      </c>
      <c r="X62" s="5">
        <f>9591.04+669919</f>
        <v>679510.04</v>
      </c>
      <c r="Y62" s="5">
        <v>338389.77</v>
      </c>
      <c r="Z62" s="12">
        <v>12212.96</v>
      </c>
      <c r="AA62" s="14">
        <f t="shared" si="3"/>
        <v>-1114935.8900000001</v>
      </c>
    </row>
    <row r="63" spans="1:27" ht="28.5" customHeight="1">
      <c r="A63" s="5">
        <f t="shared" si="4"/>
        <v>55</v>
      </c>
      <c r="B63" s="5" t="s">
        <v>169</v>
      </c>
      <c r="C63" s="5">
        <v>176328.15</v>
      </c>
      <c r="D63" s="5">
        <v>24216</v>
      </c>
      <c r="E63" s="5">
        <v>164866.58</v>
      </c>
      <c r="F63" s="5">
        <v>21427.34</v>
      </c>
      <c r="G63" s="5">
        <v>8002</v>
      </c>
      <c r="H63" s="5">
        <f t="shared" si="9"/>
        <v>178291.91999999998</v>
      </c>
      <c r="I63" s="12">
        <v>189766.29</v>
      </c>
      <c r="J63" s="12">
        <v>17359.47</v>
      </c>
      <c r="K63" s="12">
        <v>190600.17</v>
      </c>
      <c r="L63" s="12">
        <v>16851.01</v>
      </c>
      <c r="M63" s="5">
        <v>11909</v>
      </c>
      <c r="N63" s="5">
        <f t="shared" si="0"/>
        <v>195542.18000000002</v>
      </c>
      <c r="O63" s="5">
        <v>255865.47</v>
      </c>
      <c r="P63" s="5">
        <v>238392.2</v>
      </c>
      <c r="Q63" s="5">
        <v>232701</v>
      </c>
      <c r="R63" s="5">
        <f t="shared" si="1"/>
        <v>5691.200000000012</v>
      </c>
      <c r="S63" s="12">
        <v>265117.83</v>
      </c>
      <c r="T63" s="12">
        <v>268723.36</v>
      </c>
      <c r="U63" s="5">
        <v>90009</v>
      </c>
      <c r="V63" s="5">
        <f t="shared" si="2"/>
        <v>178714.36</v>
      </c>
      <c r="W63" s="5">
        <f>86174.4+13667.6+60109.9+9030.03</f>
        <v>168981.93</v>
      </c>
      <c r="X63" s="5">
        <f>103825.8+101203.9</f>
        <v>205029.7</v>
      </c>
      <c r="Y63" s="5"/>
      <c r="Z63" s="12">
        <v>76993.18</v>
      </c>
      <c r="AA63" s="14">
        <f t="shared" si="3"/>
        <v>261221.2099999999</v>
      </c>
    </row>
    <row r="64" spans="1:27" ht="28.5" customHeight="1">
      <c r="A64" s="5">
        <f t="shared" si="4"/>
        <v>56</v>
      </c>
      <c r="B64" s="5" t="s">
        <v>170</v>
      </c>
      <c r="C64" s="5">
        <v>86246.9</v>
      </c>
      <c r="D64" s="5">
        <v>11638.49</v>
      </c>
      <c r="E64" s="5">
        <v>82002.09</v>
      </c>
      <c r="F64" s="5">
        <v>9823.55</v>
      </c>
      <c r="G64" s="5">
        <v>49185</v>
      </c>
      <c r="H64" s="5">
        <f t="shared" si="9"/>
        <v>42640.64</v>
      </c>
      <c r="I64" s="12">
        <v>90754.21</v>
      </c>
      <c r="J64" s="12">
        <v>9717.2</v>
      </c>
      <c r="K64" s="12">
        <v>90361.08</v>
      </c>
      <c r="L64" s="12">
        <v>12249.31</v>
      </c>
      <c r="M64" s="5">
        <v>40191</v>
      </c>
      <c r="N64" s="5">
        <f t="shared" si="0"/>
        <v>62419.39</v>
      </c>
      <c r="O64" s="5">
        <v>123903.57</v>
      </c>
      <c r="P64" s="5">
        <v>114444.4</v>
      </c>
      <c r="Q64" s="5">
        <v>72901</v>
      </c>
      <c r="R64" s="5">
        <f t="shared" si="1"/>
        <v>41543.399999999994</v>
      </c>
      <c r="S64" s="12">
        <v>128602.94</v>
      </c>
      <c r="T64" s="12">
        <v>132652.68</v>
      </c>
      <c r="U64" s="5">
        <v>120321</v>
      </c>
      <c r="V64" s="5">
        <f t="shared" si="2"/>
        <v>12331.679999999993</v>
      </c>
      <c r="W64" s="5">
        <f>8662.38+2053.26+30005.5+1803.86</f>
        <v>42525</v>
      </c>
      <c r="X64" s="5">
        <f>9255.92+33809.36</f>
        <v>43065.28</v>
      </c>
      <c r="Y64" s="5"/>
      <c r="Z64" s="12">
        <v>17676.86</v>
      </c>
      <c r="AA64" s="14">
        <f t="shared" si="3"/>
        <v>91021.68999999999</v>
      </c>
    </row>
    <row r="65" spans="1:27" ht="27" customHeight="1">
      <c r="A65" s="5">
        <f t="shared" si="4"/>
        <v>57</v>
      </c>
      <c r="B65" s="5" t="s">
        <v>171</v>
      </c>
      <c r="C65" s="5">
        <v>59547.32</v>
      </c>
      <c r="D65" s="5">
        <v>6035.37</v>
      </c>
      <c r="E65" s="5">
        <v>51869.6</v>
      </c>
      <c r="F65" s="5">
        <v>6073.95</v>
      </c>
      <c r="G65" s="5">
        <v>0</v>
      </c>
      <c r="H65" s="5">
        <f t="shared" si="9"/>
        <v>57943.549999999996</v>
      </c>
      <c r="I65" s="12">
        <v>62013.45</v>
      </c>
      <c r="J65" s="12">
        <v>4733.55</v>
      </c>
      <c r="K65" s="12">
        <v>61405.69</v>
      </c>
      <c r="L65" s="12">
        <v>3908.46</v>
      </c>
      <c r="M65" s="5">
        <v>0</v>
      </c>
      <c r="N65" s="5">
        <f t="shared" si="0"/>
        <v>65314.15</v>
      </c>
      <c r="O65" s="5">
        <v>82270.31</v>
      </c>
      <c r="P65" s="5">
        <v>79276.1</v>
      </c>
      <c r="Q65" s="5">
        <v>13729</v>
      </c>
      <c r="R65" s="5">
        <f t="shared" si="1"/>
        <v>65547.1</v>
      </c>
      <c r="S65" s="12">
        <v>85436.1</v>
      </c>
      <c r="T65" s="12">
        <v>86024.04</v>
      </c>
      <c r="U65" s="5">
        <v>7039</v>
      </c>
      <c r="V65" s="5">
        <f t="shared" si="2"/>
        <v>78985.04</v>
      </c>
      <c r="W65" s="5">
        <f>43546.2+9838.43</f>
        <v>53384.63</v>
      </c>
      <c r="X65" s="5">
        <v>53210.92</v>
      </c>
      <c r="Y65" s="5"/>
      <c r="Z65" s="12">
        <v>16307.25</v>
      </c>
      <c r="AA65" s="14">
        <f t="shared" si="3"/>
        <v>177501.53999999998</v>
      </c>
    </row>
    <row r="66" spans="1:27" ht="28.5" customHeight="1">
      <c r="A66" s="5">
        <f t="shared" si="4"/>
        <v>58</v>
      </c>
      <c r="B66" s="5" t="s">
        <v>172</v>
      </c>
      <c r="C66" s="5">
        <v>130705.69</v>
      </c>
      <c r="D66" s="5">
        <v>26459.68</v>
      </c>
      <c r="E66" s="5">
        <v>124682.42</v>
      </c>
      <c r="F66" s="5">
        <v>26824.41</v>
      </c>
      <c r="G66" s="5">
        <v>506610</v>
      </c>
      <c r="H66" s="5">
        <f t="shared" si="9"/>
        <v>-355103.17000000004</v>
      </c>
      <c r="I66" s="12">
        <v>139183.5</v>
      </c>
      <c r="J66" s="12">
        <v>23526.6</v>
      </c>
      <c r="K66" s="12">
        <v>141814.38</v>
      </c>
      <c r="L66" s="12">
        <v>19241.53</v>
      </c>
      <c r="M66" s="5">
        <v>145408</v>
      </c>
      <c r="N66" s="5">
        <f t="shared" si="0"/>
        <v>15647.910000000003</v>
      </c>
      <c r="O66" s="5">
        <v>200520.41</v>
      </c>
      <c r="P66" s="5">
        <v>186562.41</v>
      </c>
      <c r="Q66" s="5">
        <v>216181</v>
      </c>
      <c r="R66" s="5">
        <f t="shared" si="1"/>
        <v>-29618.589999999997</v>
      </c>
      <c r="S66" s="12">
        <v>208270.52</v>
      </c>
      <c r="T66" s="12">
        <v>209450.18</v>
      </c>
      <c r="U66" s="5">
        <v>91569</v>
      </c>
      <c r="V66" s="5">
        <f t="shared" si="2"/>
        <v>117881.18</v>
      </c>
      <c r="W66" s="5">
        <f>36769.4+18386.9+27591+15512.3+7217.57+3270.16+11352+5448.12</f>
        <v>125547.45000000001</v>
      </c>
      <c r="X66" s="5">
        <f>54704.8+38198.96+10655.4+16300.52+11481.4</f>
        <v>131341.08000000002</v>
      </c>
      <c r="Y66" s="5"/>
      <c r="Z66" s="12">
        <v>46738.44</v>
      </c>
      <c r="AA66" s="14">
        <f t="shared" si="3"/>
        <v>-461342.76</v>
      </c>
    </row>
    <row r="67" spans="1:27" ht="28.5" customHeight="1">
      <c r="A67" s="5">
        <f t="shared" si="4"/>
        <v>59</v>
      </c>
      <c r="B67" s="5" t="s">
        <v>173</v>
      </c>
      <c r="C67" s="5">
        <v>218004.02</v>
      </c>
      <c r="D67" s="5">
        <v>44032.34</v>
      </c>
      <c r="E67" s="5">
        <v>208829.96</v>
      </c>
      <c r="F67" s="5">
        <v>43061.7</v>
      </c>
      <c r="G67" s="5">
        <v>260637</v>
      </c>
      <c r="H67" s="5">
        <f t="shared" si="9"/>
        <v>-8745.340000000026</v>
      </c>
      <c r="I67" s="12">
        <v>237807.25</v>
      </c>
      <c r="J67" s="12">
        <v>33924.18</v>
      </c>
      <c r="K67" s="12">
        <v>238336.23</v>
      </c>
      <c r="L67" s="12">
        <v>32819.91</v>
      </c>
      <c r="M67" s="5">
        <v>221027</v>
      </c>
      <c r="N67" s="5">
        <f t="shared" si="0"/>
        <v>50129.140000000014</v>
      </c>
      <c r="O67" s="5">
        <v>335121.78</v>
      </c>
      <c r="P67" s="5">
        <v>319731.13</v>
      </c>
      <c r="Q67" s="5">
        <v>254693</v>
      </c>
      <c r="R67" s="5">
        <f t="shared" si="1"/>
        <v>65038.130000000005</v>
      </c>
      <c r="S67" s="12">
        <v>347817.92</v>
      </c>
      <c r="T67" s="12">
        <v>347718.83</v>
      </c>
      <c r="U67" s="5">
        <v>159047</v>
      </c>
      <c r="V67" s="5">
        <f t="shared" si="2"/>
        <v>188671.83000000002</v>
      </c>
      <c r="W67" s="5">
        <f>18180.5+12758.1+15989.6+8924.68+12945.2+7505.68+12164.7+6598.37+12895.7+7174.57+11048.9+4964.37</f>
        <v>131150.37</v>
      </c>
      <c r="X67" s="5">
        <f>32126.68+25001.84+21792.24+21343.84+22781.08+15401.36</f>
        <v>138447.04</v>
      </c>
      <c r="Y67" s="5"/>
      <c r="Z67" s="12">
        <v>56015.53</v>
      </c>
      <c r="AA67" s="14">
        <f t="shared" si="3"/>
        <v>81511.88</v>
      </c>
    </row>
    <row r="68" spans="1:27" s="1" customFormat="1" ht="25.5">
      <c r="A68" s="5">
        <f t="shared" si="4"/>
        <v>60</v>
      </c>
      <c r="B68" s="5" t="s">
        <v>174</v>
      </c>
      <c r="C68" s="5">
        <v>1463.76</v>
      </c>
      <c r="D68" s="5">
        <v>750.24</v>
      </c>
      <c r="E68" s="5">
        <v>1381.15</v>
      </c>
      <c r="F68" s="5">
        <v>0</v>
      </c>
      <c r="G68" s="5">
        <v>0</v>
      </c>
      <c r="H68" s="5">
        <f t="shared" si="9"/>
        <v>1381.15</v>
      </c>
      <c r="I68" s="12">
        <v>630.9</v>
      </c>
      <c r="J68" s="12">
        <v>323.4</v>
      </c>
      <c r="K68" s="12">
        <v>666.92</v>
      </c>
      <c r="L68" s="12">
        <v>1948.62</v>
      </c>
      <c r="M68" s="5">
        <v>0</v>
      </c>
      <c r="N68" s="5">
        <f t="shared" si="0"/>
        <v>2615.54</v>
      </c>
      <c r="O68" s="5">
        <v>3187.32</v>
      </c>
      <c r="P68" s="5">
        <v>1971.69</v>
      </c>
      <c r="Q68" s="5">
        <v>795</v>
      </c>
      <c r="R68" s="5">
        <f t="shared" si="1"/>
        <v>1176.69</v>
      </c>
      <c r="S68" s="12">
        <v>1375.8</v>
      </c>
      <c r="T68" s="12">
        <v>4785.52</v>
      </c>
      <c r="U68" s="5">
        <v>55640</v>
      </c>
      <c r="V68" s="5">
        <f t="shared" si="2"/>
        <v>-50854.479999999996</v>
      </c>
      <c r="W68" s="5">
        <v>10449</v>
      </c>
      <c r="X68" s="5">
        <v>6195</v>
      </c>
      <c r="Y68" s="5"/>
      <c r="Z68" s="5"/>
      <c r="AA68" s="14">
        <f t="shared" si="3"/>
        <v>-62325.1</v>
      </c>
    </row>
    <row r="69" spans="1:27" ht="12.75">
      <c r="A69" s="5">
        <f t="shared" si="4"/>
        <v>61</v>
      </c>
      <c r="B69" s="5" t="s">
        <v>175</v>
      </c>
      <c r="C69" s="5">
        <v>45722.32</v>
      </c>
      <c r="D69" s="5">
        <v>1009.2</v>
      </c>
      <c r="E69" s="5">
        <v>44979.57</v>
      </c>
      <c r="F69" s="5">
        <v>0</v>
      </c>
      <c r="G69" s="5">
        <v>0</v>
      </c>
      <c r="H69" s="5">
        <f t="shared" si="9"/>
        <v>44979.57</v>
      </c>
      <c r="I69" s="12">
        <v>47282.7</v>
      </c>
      <c r="J69" s="12">
        <v>1044</v>
      </c>
      <c r="K69" s="12">
        <v>47156.88</v>
      </c>
      <c r="L69" s="12">
        <v>1445.2</v>
      </c>
      <c r="M69" s="5">
        <v>0</v>
      </c>
      <c r="N69" s="5">
        <f t="shared" si="0"/>
        <v>48602.079999999994</v>
      </c>
      <c r="O69" s="5">
        <v>56719.6</v>
      </c>
      <c r="P69" s="5">
        <v>55510.73</v>
      </c>
      <c r="Q69" s="5">
        <v>41209</v>
      </c>
      <c r="R69" s="5">
        <f t="shared" si="1"/>
        <v>14301.730000000003</v>
      </c>
      <c r="S69" s="12">
        <v>58636.08</v>
      </c>
      <c r="T69" s="12">
        <v>58857.56</v>
      </c>
      <c r="U69" s="5">
        <v>4997</v>
      </c>
      <c r="V69" s="5">
        <f t="shared" si="2"/>
        <v>53860.56</v>
      </c>
      <c r="W69" s="5">
        <f>5961.97+7632.53</f>
        <v>13594.5</v>
      </c>
      <c r="X69" s="5">
        <v>7889.48</v>
      </c>
      <c r="Y69" s="5"/>
      <c r="Z69" s="12">
        <v>2714.93</v>
      </c>
      <c r="AA69" s="14">
        <f t="shared" si="3"/>
        <v>142974.88999999998</v>
      </c>
    </row>
    <row r="70" spans="1:27" s="1" customFormat="1" ht="12.75">
      <c r="A70" s="5">
        <f t="shared" si="4"/>
        <v>62</v>
      </c>
      <c r="B70" s="5" t="s">
        <v>176</v>
      </c>
      <c r="C70" s="5">
        <v>513</v>
      </c>
      <c r="D70" s="5">
        <v>66.12</v>
      </c>
      <c r="E70" s="5">
        <v>525.7</v>
      </c>
      <c r="F70" s="5">
        <v>99.18</v>
      </c>
      <c r="G70" s="5">
        <v>0</v>
      </c>
      <c r="H70" s="5">
        <f t="shared" si="9"/>
        <v>624.8800000000001</v>
      </c>
      <c r="I70" s="12">
        <v>199.68</v>
      </c>
      <c r="J70" s="5">
        <v>0</v>
      </c>
      <c r="K70" s="12">
        <v>47.68</v>
      </c>
      <c r="L70" s="5">
        <v>0</v>
      </c>
      <c r="M70" s="5">
        <v>0</v>
      </c>
      <c r="N70" s="5">
        <f t="shared" si="0"/>
        <v>47.68</v>
      </c>
      <c r="O70" s="5">
        <v>1691.52</v>
      </c>
      <c r="P70" s="5">
        <v>1714.71</v>
      </c>
      <c r="Q70" s="5">
        <v>0</v>
      </c>
      <c r="R70" s="5">
        <f t="shared" si="1"/>
        <v>1714.71</v>
      </c>
      <c r="S70" s="12">
        <v>287.88</v>
      </c>
      <c r="T70" s="12">
        <v>68.76</v>
      </c>
      <c r="U70" s="5">
        <v>0</v>
      </c>
      <c r="V70" s="5">
        <f t="shared" si="2"/>
        <v>68.76</v>
      </c>
      <c r="W70" s="5">
        <v>11145.6</v>
      </c>
      <c r="X70" s="5">
        <v>4531.2</v>
      </c>
      <c r="Y70" s="5"/>
      <c r="Z70" s="12">
        <v>2731.59</v>
      </c>
      <c r="AA70" s="14">
        <f t="shared" si="3"/>
        <v>-10489.18</v>
      </c>
    </row>
    <row r="71" spans="1:27" ht="12.75">
      <c r="A71" s="5">
        <f t="shared" si="4"/>
        <v>63</v>
      </c>
      <c r="B71" s="5" t="s">
        <v>177</v>
      </c>
      <c r="C71" s="5">
        <v>52458.11</v>
      </c>
      <c r="D71" s="5">
        <v>267.55</v>
      </c>
      <c r="E71" s="5">
        <v>50597.21</v>
      </c>
      <c r="F71" s="5">
        <v>564.87</v>
      </c>
      <c r="G71" s="5">
        <v>0</v>
      </c>
      <c r="H71" s="5">
        <f t="shared" si="9"/>
        <v>51162.08</v>
      </c>
      <c r="I71" s="12">
        <v>54297</v>
      </c>
      <c r="J71" s="5">
        <v>0</v>
      </c>
      <c r="K71" s="12">
        <v>52330.26</v>
      </c>
      <c r="L71" s="5">
        <v>0</v>
      </c>
      <c r="M71" s="5">
        <v>0</v>
      </c>
      <c r="N71" s="5">
        <f t="shared" si="0"/>
        <v>52330.26</v>
      </c>
      <c r="O71" s="5">
        <v>63995.97</v>
      </c>
      <c r="P71" s="5">
        <v>62432.51</v>
      </c>
      <c r="Q71" s="5">
        <v>36109</v>
      </c>
      <c r="R71" s="5">
        <f t="shared" si="1"/>
        <v>26323.510000000002</v>
      </c>
      <c r="S71" s="12">
        <v>65880.36</v>
      </c>
      <c r="T71" s="12">
        <v>65131.74</v>
      </c>
      <c r="U71" s="5">
        <v>16556</v>
      </c>
      <c r="V71" s="5">
        <f t="shared" si="2"/>
        <v>48575.74</v>
      </c>
      <c r="W71" s="5">
        <f>713.8+41697.2</f>
        <v>42411</v>
      </c>
      <c r="X71" s="5">
        <v>9218.16</v>
      </c>
      <c r="Y71" s="5"/>
      <c r="Z71" s="12">
        <v>7031.94</v>
      </c>
      <c r="AA71" s="14">
        <f t="shared" si="3"/>
        <v>133794.37</v>
      </c>
    </row>
    <row r="72" spans="1:27" ht="12.75">
      <c r="A72" s="5">
        <f t="shared" si="4"/>
        <v>64</v>
      </c>
      <c r="B72" s="5" t="s">
        <v>178</v>
      </c>
      <c r="C72" s="5">
        <v>42130.6</v>
      </c>
      <c r="D72" s="5">
        <v>0</v>
      </c>
      <c r="E72" s="5">
        <v>39314.3</v>
      </c>
      <c r="F72" s="5">
        <v>0</v>
      </c>
      <c r="G72" s="5">
        <v>142431</v>
      </c>
      <c r="H72" s="5">
        <f t="shared" si="9"/>
        <v>-103116.7</v>
      </c>
      <c r="I72" s="12">
        <v>43587</v>
      </c>
      <c r="J72" s="5">
        <v>0</v>
      </c>
      <c r="K72" s="12">
        <v>43213.79</v>
      </c>
      <c r="L72" s="5">
        <v>0</v>
      </c>
      <c r="M72" s="5">
        <v>0</v>
      </c>
      <c r="N72" s="5">
        <f aca="true" t="shared" si="10" ref="N72:N77">K72+L72-M72</f>
        <v>43213.79</v>
      </c>
      <c r="O72" s="5">
        <v>51136.48</v>
      </c>
      <c r="P72" s="5">
        <v>48442.27</v>
      </c>
      <c r="Q72" s="5">
        <v>20773</v>
      </c>
      <c r="R72" s="5">
        <f t="shared" si="1"/>
        <v>27669.269999999997</v>
      </c>
      <c r="S72" s="12">
        <v>52885.92</v>
      </c>
      <c r="T72" s="12">
        <v>54452.1</v>
      </c>
      <c r="U72" s="5">
        <v>20323</v>
      </c>
      <c r="V72" s="5">
        <f aca="true" t="shared" si="11" ref="V72:V77">T72-U72</f>
        <v>34129.1</v>
      </c>
      <c r="W72" s="5">
        <f>7982.98+12525.9+3921.61</f>
        <v>24430.489999999998</v>
      </c>
      <c r="X72" s="5">
        <v>21520.84</v>
      </c>
      <c r="Y72" s="5"/>
      <c r="Z72" s="5"/>
      <c r="AA72" s="14">
        <f aca="true" t="shared" si="12" ref="AA72:AA77">H72+N72+R72+V72-W72-X72+Y72+Z72</f>
        <v>-44055.869999999995</v>
      </c>
    </row>
    <row r="73" spans="1:27" s="1" customFormat="1" ht="12.75">
      <c r="A73" s="5">
        <f t="shared" si="4"/>
        <v>65</v>
      </c>
      <c r="B73" s="5" t="s">
        <v>179</v>
      </c>
      <c r="C73" s="5">
        <v>1778.88</v>
      </c>
      <c r="D73" s="5">
        <v>1155.36</v>
      </c>
      <c r="E73" s="5">
        <v>1630.64</v>
      </c>
      <c r="F73" s="5">
        <v>1075.6</v>
      </c>
      <c r="G73" s="5">
        <v>0</v>
      </c>
      <c r="H73" s="5">
        <f t="shared" si="9"/>
        <v>2706.24</v>
      </c>
      <c r="I73" s="12">
        <v>766.8</v>
      </c>
      <c r="J73" s="12">
        <v>498</v>
      </c>
      <c r="K73" s="12">
        <v>915.04</v>
      </c>
      <c r="L73" s="12">
        <v>348.69</v>
      </c>
      <c r="M73" s="5">
        <v>0</v>
      </c>
      <c r="N73" s="5">
        <f t="shared" si="10"/>
        <v>1263.73</v>
      </c>
      <c r="O73" s="5">
        <v>4224.36</v>
      </c>
      <c r="P73" s="5">
        <v>3604.03</v>
      </c>
      <c r="Q73" s="5">
        <v>0</v>
      </c>
      <c r="R73" s="5">
        <f t="shared" si="1"/>
        <v>3604.03</v>
      </c>
      <c r="S73" s="12">
        <v>1823.45</v>
      </c>
      <c r="T73" s="12">
        <v>1846.41</v>
      </c>
      <c r="U73" s="5">
        <v>0</v>
      </c>
      <c r="V73" s="5">
        <f t="shared" si="11"/>
        <v>1846.41</v>
      </c>
      <c r="W73" s="5">
        <v>5572.82</v>
      </c>
      <c r="X73" s="5">
        <v>3304</v>
      </c>
      <c r="Y73" s="5"/>
      <c r="Z73" s="5"/>
      <c r="AA73" s="14">
        <f t="shared" si="12"/>
        <v>543.5900000000001</v>
      </c>
    </row>
    <row r="74" spans="1:27" ht="12.75">
      <c r="A74" s="5">
        <f t="shared" si="4"/>
        <v>66</v>
      </c>
      <c r="B74" s="5" t="s">
        <v>180</v>
      </c>
      <c r="C74" s="5">
        <v>16622.04</v>
      </c>
      <c r="D74" s="5">
        <v>2479.2</v>
      </c>
      <c r="E74" s="5">
        <v>15006.36</v>
      </c>
      <c r="F74" s="5">
        <v>1807.64</v>
      </c>
      <c r="G74" s="5">
        <v>0</v>
      </c>
      <c r="H74" s="5">
        <f t="shared" si="9"/>
        <v>16814</v>
      </c>
      <c r="I74" s="12">
        <v>17177.76</v>
      </c>
      <c r="J74" s="12">
        <v>2564.64</v>
      </c>
      <c r="K74" s="12">
        <v>17990.53</v>
      </c>
      <c r="L74" s="12">
        <v>2529.88</v>
      </c>
      <c r="M74" s="5">
        <v>70743</v>
      </c>
      <c r="N74" s="5">
        <f t="shared" si="10"/>
        <v>-50222.59</v>
      </c>
      <c r="O74" s="5">
        <v>28981.08</v>
      </c>
      <c r="P74" s="5">
        <v>25347.48</v>
      </c>
      <c r="Q74" s="5">
        <v>1829</v>
      </c>
      <c r="R74" s="5">
        <f>P74-Q74</f>
        <v>23518.48</v>
      </c>
      <c r="S74" s="12">
        <v>29942.52</v>
      </c>
      <c r="T74" s="12">
        <v>31606.18</v>
      </c>
      <c r="U74" s="5">
        <v>16995</v>
      </c>
      <c r="V74" s="5">
        <f t="shared" si="11"/>
        <v>14611.18</v>
      </c>
      <c r="W74" s="5">
        <v>13149.4</v>
      </c>
      <c r="X74" s="5">
        <v>5675.8</v>
      </c>
      <c r="Y74" s="5"/>
      <c r="Z74" s="12">
        <v>1633.22</v>
      </c>
      <c r="AA74" s="14">
        <f t="shared" si="12"/>
        <v>-12470.909999999998</v>
      </c>
    </row>
    <row r="75" spans="1:27" ht="12.75">
      <c r="A75" s="5">
        <f t="shared" si="4"/>
        <v>67</v>
      </c>
      <c r="B75" s="5" t="s">
        <v>181</v>
      </c>
      <c r="C75" s="5">
        <v>3647.04</v>
      </c>
      <c r="D75" s="5">
        <v>1276.44</v>
      </c>
      <c r="E75" s="5">
        <v>3475.23</v>
      </c>
      <c r="F75" s="5">
        <v>1295.11</v>
      </c>
      <c r="G75" s="5">
        <v>0</v>
      </c>
      <c r="H75" s="5">
        <f t="shared" si="9"/>
        <v>4770.34</v>
      </c>
      <c r="I75" s="12">
        <v>3987.84</v>
      </c>
      <c r="J75" s="12">
        <v>1105.44</v>
      </c>
      <c r="K75" s="12">
        <v>3732.07</v>
      </c>
      <c r="L75" s="12">
        <v>1135.25</v>
      </c>
      <c r="M75" s="5">
        <v>42915</v>
      </c>
      <c r="N75" s="5">
        <f t="shared" si="10"/>
        <v>-38047.68</v>
      </c>
      <c r="O75" s="5">
        <v>7088.16</v>
      </c>
      <c r="P75" s="5">
        <v>6674.68</v>
      </c>
      <c r="Q75" s="5">
        <v>24167</v>
      </c>
      <c r="R75" s="5">
        <f>P75-Q75</f>
        <v>-17492.32</v>
      </c>
      <c r="S75" s="12">
        <v>7342.92</v>
      </c>
      <c r="T75" s="12">
        <v>6634.43</v>
      </c>
      <c r="U75" s="5">
        <v>0</v>
      </c>
      <c r="V75" s="5">
        <f t="shared" si="11"/>
        <v>6634.43</v>
      </c>
      <c r="W75" s="5">
        <f>305.3+316.05</f>
        <v>621.35</v>
      </c>
      <c r="X75" s="5">
        <f>2149.96+1890.36</f>
        <v>4040.3199999999997</v>
      </c>
      <c r="Y75" s="5"/>
      <c r="Z75" s="12">
        <v>828.1</v>
      </c>
      <c r="AA75" s="14">
        <f t="shared" si="12"/>
        <v>-47968.799999999996</v>
      </c>
    </row>
    <row r="76" spans="1:27" s="1" customFormat="1" ht="12.75">
      <c r="A76" s="5">
        <f>A75+1</f>
        <v>68</v>
      </c>
      <c r="B76" s="5" t="s">
        <v>182</v>
      </c>
      <c r="C76" s="5">
        <v>931.32</v>
      </c>
      <c r="D76" s="5">
        <v>825.48</v>
      </c>
      <c r="E76" s="5">
        <v>853.71</v>
      </c>
      <c r="F76" s="5">
        <v>825.48</v>
      </c>
      <c r="G76" s="5">
        <v>0</v>
      </c>
      <c r="H76" s="5">
        <f t="shared" si="9"/>
        <v>1679.19</v>
      </c>
      <c r="I76" s="12">
        <v>401.4</v>
      </c>
      <c r="J76" s="5">
        <v>0</v>
      </c>
      <c r="K76" s="12">
        <v>479.01</v>
      </c>
      <c r="L76" s="12">
        <v>0</v>
      </c>
      <c r="M76" s="5">
        <v>0</v>
      </c>
      <c r="N76" s="5">
        <f t="shared" si="10"/>
        <v>479.01</v>
      </c>
      <c r="O76" s="5">
        <v>2529.12</v>
      </c>
      <c r="P76" s="5">
        <v>2431.34</v>
      </c>
      <c r="Q76" s="5">
        <v>0</v>
      </c>
      <c r="R76" s="5">
        <f>P76-Q76</f>
        <v>2431.34</v>
      </c>
      <c r="S76" s="12">
        <v>1091.6</v>
      </c>
      <c r="T76" s="12">
        <v>1203.33</v>
      </c>
      <c r="U76" s="5">
        <v>0</v>
      </c>
      <c r="V76" s="5">
        <f t="shared" si="11"/>
        <v>1203.33</v>
      </c>
      <c r="W76" s="5"/>
      <c r="X76" s="5"/>
      <c r="Y76" s="5"/>
      <c r="Z76" s="5"/>
      <c r="AA76" s="14">
        <f t="shared" si="12"/>
        <v>5792.87</v>
      </c>
    </row>
    <row r="77" spans="1:27" s="1" customFormat="1" ht="12.75">
      <c r="A77" s="5">
        <f>A76+1</f>
        <v>69</v>
      </c>
      <c r="B77" s="5" t="s">
        <v>183</v>
      </c>
      <c r="C77" s="5">
        <v>1795.68</v>
      </c>
      <c r="D77" s="5">
        <v>689.04</v>
      </c>
      <c r="E77" s="5">
        <v>1646.04</v>
      </c>
      <c r="F77" s="5">
        <v>634.3</v>
      </c>
      <c r="G77" s="5">
        <v>0</v>
      </c>
      <c r="H77" s="5">
        <f t="shared" si="9"/>
        <v>2280.34</v>
      </c>
      <c r="I77" s="12">
        <v>774</v>
      </c>
      <c r="J77" s="12">
        <v>297</v>
      </c>
      <c r="K77" s="12">
        <v>923.64</v>
      </c>
      <c r="L77" s="12">
        <v>354.42</v>
      </c>
      <c r="M77" s="5">
        <v>0</v>
      </c>
      <c r="N77" s="5">
        <f t="shared" si="10"/>
        <v>1278.06</v>
      </c>
      <c r="O77" s="5">
        <v>3577.2</v>
      </c>
      <c r="P77" s="5">
        <v>3283.2</v>
      </c>
      <c r="Q77" s="5">
        <v>0</v>
      </c>
      <c r="R77" s="5">
        <f>P77-Q77</f>
        <v>3283.2</v>
      </c>
      <c r="S77" s="12">
        <v>1544.05</v>
      </c>
      <c r="T77" s="12">
        <v>1842.15</v>
      </c>
      <c r="U77" s="5">
        <v>0</v>
      </c>
      <c r="V77" s="5">
        <f t="shared" si="11"/>
        <v>1842.15</v>
      </c>
      <c r="W77" s="5">
        <v>4179.61</v>
      </c>
      <c r="X77" s="5">
        <v>2718.72</v>
      </c>
      <c r="Y77" s="5"/>
      <c r="Z77" s="5"/>
      <c r="AA77" s="14">
        <f t="shared" si="12"/>
        <v>1785.4200000000005</v>
      </c>
    </row>
    <row r="78" spans="1:27" s="3" customFormat="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s="3" customFormat="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s="3" customFormat="1" ht="32.25" customHeight="1">
      <c r="A80" s="22" t="s">
        <v>16</v>
      </c>
      <c r="B80" s="22"/>
      <c r="C80" s="22"/>
      <c r="D80" s="22"/>
      <c r="E80" s="22"/>
      <c r="F80" s="22"/>
      <c r="G80" s="22"/>
      <c r="H80" s="22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s="3" customFormat="1" ht="32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s="3" customFormat="1" ht="32.25" customHeight="1">
      <c r="A82" s="18" t="s">
        <v>1</v>
      </c>
      <c r="B82" s="18" t="s">
        <v>2</v>
      </c>
      <c r="C82" s="15" t="s">
        <v>3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7"/>
      <c r="O82" s="15" t="s">
        <v>12</v>
      </c>
      <c r="P82" s="16"/>
      <c r="Q82" s="16"/>
      <c r="R82" s="16"/>
      <c r="S82" s="16"/>
      <c r="T82" s="16"/>
      <c r="U82" s="16"/>
      <c r="V82" s="17"/>
      <c r="W82" s="18" t="s">
        <v>14</v>
      </c>
      <c r="X82" s="21" t="s">
        <v>15</v>
      </c>
      <c r="Y82" s="21" t="s">
        <v>204</v>
      </c>
      <c r="Z82" s="21" t="s">
        <v>203</v>
      </c>
      <c r="AA82" s="18" t="s">
        <v>200</v>
      </c>
    </row>
    <row r="83" spans="1:27" s="3" customFormat="1" ht="32.25" customHeight="1">
      <c r="A83" s="19"/>
      <c r="B83" s="19"/>
      <c r="C83" s="15" t="s">
        <v>10</v>
      </c>
      <c r="D83" s="16"/>
      <c r="E83" s="16"/>
      <c r="F83" s="16"/>
      <c r="G83" s="16"/>
      <c r="H83" s="17"/>
      <c r="I83" s="15" t="s">
        <v>11</v>
      </c>
      <c r="J83" s="16"/>
      <c r="K83" s="16"/>
      <c r="L83" s="16"/>
      <c r="M83" s="16"/>
      <c r="N83" s="17"/>
      <c r="O83" s="21" t="s">
        <v>10</v>
      </c>
      <c r="P83" s="21"/>
      <c r="Q83" s="21"/>
      <c r="R83" s="21"/>
      <c r="S83" s="21" t="s">
        <v>11</v>
      </c>
      <c r="T83" s="21"/>
      <c r="U83" s="21"/>
      <c r="V83" s="21"/>
      <c r="W83" s="19"/>
      <c r="X83" s="21"/>
      <c r="Y83" s="21"/>
      <c r="Z83" s="21"/>
      <c r="AA83" s="19"/>
    </row>
    <row r="84" spans="1:27" s="3" customFormat="1" ht="32.25" customHeight="1">
      <c r="A84" s="19"/>
      <c r="B84" s="19"/>
      <c r="C84" s="15" t="s">
        <v>5</v>
      </c>
      <c r="D84" s="17"/>
      <c r="E84" s="15" t="s">
        <v>6</v>
      </c>
      <c r="F84" s="17"/>
      <c r="G84" s="18" t="s">
        <v>9</v>
      </c>
      <c r="H84" s="18" t="s">
        <v>199</v>
      </c>
      <c r="I84" s="15" t="s">
        <v>5</v>
      </c>
      <c r="J84" s="17"/>
      <c r="K84" s="15" t="s">
        <v>6</v>
      </c>
      <c r="L84" s="17"/>
      <c r="M84" s="18" t="s">
        <v>9</v>
      </c>
      <c r="N84" s="18" t="s">
        <v>202</v>
      </c>
      <c r="O84" s="21" t="s">
        <v>5</v>
      </c>
      <c r="P84" s="21" t="s">
        <v>6</v>
      </c>
      <c r="Q84" s="21" t="s">
        <v>13</v>
      </c>
      <c r="R84" s="21" t="s">
        <v>199</v>
      </c>
      <c r="S84" s="21" t="s">
        <v>5</v>
      </c>
      <c r="T84" s="21" t="s">
        <v>6</v>
      </c>
      <c r="U84" s="21" t="s">
        <v>13</v>
      </c>
      <c r="V84" s="21" t="s">
        <v>202</v>
      </c>
      <c r="W84" s="19"/>
      <c r="X84" s="21"/>
      <c r="Y84" s="21"/>
      <c r="Z84" s="21"/>
      <c r="AA84" s="19"/>
    </row>
    <row r="85" spans="1:27" s="3" customFormat="1" ht="58.5" customHeight="1">
      <c r="A85" s="20"/>
      <c r="B85" s="20"/>
      <c r="C85" s="6" t="s">
        <v>7</v>
      </c>
      <c r="D85" s="6" t="s">
        <v>8</v>
      </c>
      <c r="E85" s="6" t="s">
        <v>7</v>
      </c>
      <c r="F85" s="6" t="s">
        <v>8</v>
      </c>
      <c r="G85" s="20"/>
      <c r="H85" s="20"/>
      <c r="I85" s="6" t="s">
        <v>7</v>
      </c>
      <c r="J85" s="6" t="s">
        <v>8</v>
      </c>
      <c r="K85" s="6" t="s">
        <v>7</v>
      </c>
      <c r="L85" s="6" t="s">
        <v>8</v>
      </c>
      <c r="M85" s="20"/>
      <c r="N85" s="20"/>
      <c r="O85" s="21"/>
      <c r="P85" s="21"/>
      <c r="Q85" s="21"/>
      <c r="R85" s="21"/>
      <c r="S85" s="21"/>
      <c r="T85" s="21"/>
      <c r="U85" s="21"/>
      <c r="V85" s="21"/>
      <c r="W85" s="20"/>
      <c r="X85" s="21"/>
      <c r="Y85" s="21"/>
      <c r="Z85" s="21"/>
      <c r="AA85" s="20"/>
    </row>
    <row r="86" spans="1:27" s="10" customFormat="1" ht="12.75">
      <c r="A86" s="7">
        <v>1</v>
      </c>
      <c r="B86" s="7" t="s">
        <v>89</v>
      </c>
      <c r="C86" s="7">
        <v>2918.31</v>
      </c>
      <c r="D86" s="7">
        <v>20402.36</v>
      </c>
      <c r="E86" s="7">
        <v>2411.06</v>
      </c>
      <c r="F86" s="7">
        <v>17955.51</v>
      </c>
      <c r="G86" s="7">
        <v>48509</v>
      </c>
      <c r="H86" s="7">
        <f>E86+F86-G86</f>
        <v>-28142.43</v>
      </c>
      <c r="I86" s="7">
        <v>12643.41</v>
      </c>
      <c r="J86" s="12">
        <v>11981.49</v>
      </c>
      <c r="K86" s="12">
        <v>12858.1</v>
      </c>
      <c r="L86" s="12">
        <v>11421.71</v>
      </c>
      <c r="M86" s="7"/>
      <c r="N86" s="7">
        <f>K86+L86-M86</f>
        <v>24279.809999999998</v>
      </c>
      <c r="O86" s="7">
        <v>1270.9</v>
      </c>
      <c r="P86" s="7">
        <v>11236.62</v>
      </c>
      <c r="Q86" s="7">
        <v>22487</v>
      </c>
      <c r="R86" s="7">
        <f>P86-Q86</f>
        <v>-11250.38</v>
      </c>
      <c r="S86" s="12">
        <v>13533.22</v>
      </c>
      <c r="T86" s="12">
        <v>12785.22</v>
      </c>
      <c r="U86" s="7">
        <v>40591</v>
      </c>
      <c r="V86" s="7">
        <f>T86-U86</f>
        <v>-27805.78</v>
      </c>
      <c r="W86" s="7">
        <f>25363.63+8602.18+9963.13+32432.86</f>
        <v>76361.79999999999</v>
      </c>
      <c r="X86" s="7">
        <f>13338.72+62865.68+2324.6</f>
        <v>78529</v>
      </c>
      <c r="Y86" s="7">
        <v>1274</v>
      </c>
      <c r="Z86" s="12">
        <v>21807.53</v>
      </c>
      <c r="AA86" s="7">
        <f>H86+N86+R86+V86-W86-X86+Y86+Z86</f>
        <v>-174728.05</v>
      </c>
    </row>
    <row r="87" spans="1:27" s="10" customFormat="1" ht="12.75">
      <c r="A87" s="7">
        <f>A86+1</f>
        <v>2</v>
      </c>
      <c r="B87" s="7" t="s">
        <v>90</v>
      </c>
      <c r="C87" s="7">
        <v>1830.82</v>
      </c>
      <c r="D87" s="7">
        <v>18340.42</v>
      </c>
      <c r="E87" s="7">
        <v>1498.17</v>
      </c>
      <c r="F87" s="7">
        <v>17182.84</v>
      </c>
      <c r="G87" s="7">
        <v>57899</v>
      </c>
      <c r="H87" s="7">
        <f aca="true" t="shared" si="13" ref="H87:H148">E87+F87-G87</f>
        <v>-39217.99</v>
      </c>
      <c r="I87" s="12">
        <v>10297.05</v>
      </c>
      <c r="J87" s="12">
        <v>13175.1</v>
      </c>
      <c r="K87" s="12">
        <v>10352.71</v>
      </c>
      <c r="L87" s="12">
        <v>11476.89</v>
      </c>
      <c r="M87" s="7">
        <v>50640</v>
      </c>
      <c r="N87" s="7">
        <f aca="true" t="shared" si="14" ref="N87:N150">K87+L87-M87</f>
        <v>-28810.4</v>
      </c>
      <c r="O87" s="7">
        <v>10989.28</v>
      </c>
      <c r="P87" s="7">
        <v>10256.17</v>
      </c>
      <c r="Q87" s="7">
        <v>27611</v>
      </c>
      <c r="R87" s="7">
        <f aca="true" t="shared" si="15" ref="R87:R148">P87-Q87</f>
        <v>-17354.83</v>
      </c>
      <c r="S87" s="12">
        <v>12832.08</v>
      </c>
      <c r="T87" s="12">
        <v>12038.19</v>
      </c>
      <c r="U87" s="7">
        <v>20729</v>
      </c>
      <c r="V87" s="7">
        <f aca="true" t="shared" si="16" ref="V87:V150">T87-U87</f>
        <v>-8690.81</v>
      </c>
      <c r="W87" s="7">
        <f>127000.9-30723.6</f>
        <v>96277.29999999999</v>
      </c>
      <c r="X87" s="7">
        <v>77752.56</v>
      </c>
      <c r="Y87" s="7">
        <v>2459.76</v>
      </c>
      <c r="Z87" s="12">
        <v>13344.38</v>
      </c>
      <c r="AA87" s="7">
        <f aca="true" t="shared" si="17" ref="AA87:AA150">H87+N87+R87+V87-W87-X87+Y87+Z87</f>
        <v>-252299.75</v>
      </c>
    </row>
    <row r="88" spans="1:27" s="10" customFormat="1" ht="25.5">
      <c r="A88" s="7">
        <f aca="true" t="shared" si="18" ref="A88:A155">A87+1</f>
        <v>3</v>
      </c>
      <c r="B88" s="7" t="s">
        <v>91</v>
      </c>
      <c r="C88" s="7">
        <v>10459.43</v>
      </c>
      <c r="D88" s="7">
        <v>2343.96</v>
      </c>
      <c r="E88" s="7">
        <v>10374.18</v>
      </c>
      <c r="F88" s="7">
        <v>1249.89</v>
      </c>
      <c r="G88" s="7">
        <v>0</v>
      </c>
      <c r="H88" s="7">
        <f t="shared" si="13"/>
        <v>11624.07</v>
      </c>
      <c r="I88" s="12">
        <v>10819.8</v>
      </c>
      <c r="J88" s="12">
        <v>2424.6</v>
      </c>
      <c r="K88" s="12">
        <v>10837.36</v>
      </c>
      <c r="L88" s="12">
        <v>743.4</v>
      </c>
      <c r="M88" s="7"/>
      <c r="N88" s="7">
        <f t="shared" si="14"/>
        <v>11580.76</v>
      </c>
      <c r="O88" s="7">
        <v>15539.88</v>
      </c>
      <c r="P88" s="7">
        <v>13324.89</v>
      </c>
      <c r="Q88" s="7">
        <v>11721</v>
      </c>
      <c r="R88" s="7">
        <f t="shared" si="15"/>
        <v>1603.8899999999994</v>
      </c>
      <c r="S88" s="12">
        <v>16070.04</v>
      </c>
      <c r="T88" s="12">
        <v>14088.76</v>
      </c>
      <c r="U88" s="7">
        <v>23012</v>
      </c>
      <c r="V88" s="7">
        <f t="shared" si="16"/>
        <v>-8923.24</v>
      </c>
      <c r="W88" s="7">
        <f>2014.56+619.2</f>
        <v>2633.76</v>
      </c>
      <c r="X88" s="7">
        <v>1902.16</v>
      </c>
      <c r="Y88" s="7"/>
      <c r="Z88" s="12">
        <v>504.51</v>
      </c>
      <c r="AA88" s="7">
        <f t="shared" si="17"/>
        <v>11854.070000000002</v>
      </c>
    </row>
    <row r="89" spans="1:27" s="10" customFormat="1" ht="12.75">
      <c r="A89" s="7">
        <f t="shared" si="18"/>
        <v>4</v>
      </c>
      <c r="B89" s="7" t="s">
        <v>92</v>
      </c>
      <c r="C89" s="7">
        <v>1647.38</v>
      </c>
      <c r="D89" s="7">
        <v>16833.55</v>
      </c>
      <c r="E89" s="7">
        <v>1162.14</v>
      </c>
      <c r="F89" s="7">
        <v>14915.49</v>
      </c>
      <c r="G89" s="7">
        <v>6943</v>
      </c>
      <c r="H89" s="7">
        <f t="shared" si="13"/>
        <v>9134.63</v>
      </c>
      <c r="I89" s="12">
        <v>9949.05</v>
      </c>
      <c r="J89" s="12">
        <v>9293.55</v>
      </c>
      <c r="K89" s="12">
        <v>10015.45</v>
      </c>
      <c r="L89" s="12">
        <v>7050.18</v>
      </c>
      <c r="M89" s="7"/>
      <c r="N89" s="7">
        <f t="shared" si="14"/>
        <v>17065.63</v>
      </c>
      <c r="O89" s="7">
        <v>10067.44</v>
      </c>
      <c r="P89" s="7">
        <v>8741.9</v>
      </c>
      <c r="Q89" s="7">
        <v>24761</v>
      </c>
      <c r="R89" s="7">
        <f t="shared" si="15"/>
        <v>-16019.1</v>
      </c>
      <c r="S89" s="12">
        <v>10518.75</v>
      </c>
      <c r="T89" s="12">
        <v>9611.65</v>
      </c>
      <c r="U89" s="7">
        <v>14156</v>
      </c>
      <c r="V89" s="7">
        <f t="shared" si="16"/>
        <v>-4544.35</v>
      </c>
      <c r="W89" s="7">
        <f>154683.4+176157.5</f>
        <v>330840.9</v>
      </c>
      <c r="X89" s="7">
        <v>391153.7</v>
      </c>
      <c r="Y89" s="7">
        <v>215314.71</v>
      </c>
      <c r="Z89" s="12">
        <v>5626.24</v>
      </c>
      <c r="AA89" s="7">
        <f t="shared" si="17"/>
        <v>-495416.8400000001</v>
      </c>
    </row>
    <row r="90" spans="1:27" s="10" customFormat="1" ht="12.75">
      <c r="A90" s="7">
        <f t="shared" si="18"/>
        <v>5</v>
      </c>
      <c r="B90" s="7" t="s">
        <v>93</v>
      </c>
      <c r="C90" s="7">
        <v>5173.08</v>
      </c>
      <c r="D90" s="7">
        <v>1613.04</v>
      </c>
      <c r="E90" s="7">
        <v>5088.1</v>
      </c>
      <c r="F90" s="7">
        <v>1536.91</v>
      </c>
      <c r="G90" s="7">
        <v>0</v>
      </c>
      <c r="H90" s="7">
        <f t="shared" si="13"/>
        <v>6625.01</v>
      </c>
      <c r="I90" s="12">
        <v>5351.4</v>
      </c>
      <c r="J90" s="12">
        <v>1668.6</v>
      </c>
      <c r="K90" s="12">
        <v>5786.25</v>
      </c>
      <c r="L90" s="12">
        <v>1699.65</v>
      </c>
      <c r="M90" s="7"/>
      <c r="N90" s="7">
        <f t="shared" si="14"/>
        <v>7485.9</v>
      </c>
      <c r="O90" s="7">
        <v>8236.8</v>
      </c>
      <c r="P90" s="7">
        <v>7946.01</v>
      </c>
      <c r="Q90" s="7">
        <v>21409</v>
      </c>
      <c r="R90" s="7">
        <f t="shared" si="15"/>
        <v>-13462.99</v>
      </c>
      <c r="S90" s="12">
        <v>8517.6</v>
      </c>
      <c r="T90" s="12">
        <v>9104.24</v>
      </c>
      <c r="U90" s="7">
        <v>0</v>
      </c>
      <c r="V90" s="7">
        <f t="shared" si="16"/>
        <v>9104.24</v>
      </c>
      <c r="W90" s="7">
        <f>247.25+819.15</f>
        <v>1066.4</v>
      </c>
      <c r="X90" s="7">
        <v>110.92</v>
      </c>
      <c r="Y90" s="7"/>
      <c r="Z90" s="12">
        <v>59.06</v>
      </c>
      <c r="AA90" s="7">
        <f t="shared" si="17"/>
        <v>8633.9</v>
      </c>
    </row>
    <row r="91" spans="1:27" s="10" customFormat="1" ht="12.75">
      <c r="A91" s="7">
        <f t="shared" si="18"/>
        <v>6</v>
      </c>
      <c r="B91" s="7" t="s">
        <v>94</v>
      </c>
      <c r="C91" s="7">
        <v>14934.14</v>
      </c>
      <c r="D91" s="7">
        <v>834.97</v>
      </c>
      <c r="E91" s="7">
        <v>14730.62</v>
      </c>
      <c r="F91" s="7">
        <v>944.92</v>
      </c>
      <c r="G91" s="7">
        <v>0</v>
      </c>
      <c r="H91" s="7">
        <f t="shared" si="13"/>
        <v>15675.54</v>
      </c>
      <c r="I91" s="12">
        <v>15442.44</v>
      </c>
      <c r="J91" s="12">
        <v>878.4</v>
      </c>
      <c r="K91" s="12">
        <v>15605.27</v>
      </c>
      <c r="L91" s="12">
        <v>290.36</v>
      </c>
      <c r="M91" s="7"/>
      <c r="N91" s="7">
        <f t="shared" si="14"/>
        <v>15895.630000000001</v>
      </c>
      <c r="O91" s="7">
        <v>1915157.38</v>
      </c>
      <c r="P91" s="7">
        <v>17922.48</v>
      </c>
      <c r="Q91" s="7">
        <v>0</v>
      </c>
      <c r="R91" s="7">
        <f t="shared" si="15"/>
        <v>17922.48</v>
      </c>
      <c r="S91" s="12">
        <v>19802.52</v>
      </c>
      <c r="T91" s="12">
        <v>20401.21</v>
      </c>
      <c r="U91" s="7">
        <v>24289</v>
      </c>
      <c r="V91" s="7">
        <f t="shared" si="16"/>
        <v>-3887.790000000001</v>
      </c>
      <c r="W91" s="7">
        <f>911.6+1227.65</f>
        <v>2139.25</v>
      </c>
      <c r="X91" s="7">
        <v>644.28</v>
      </c>
      <c r="Y91" s="7"/>
      <c r="Z91" s="12">
        <v>243.65</v>
      </c>
      <c r="AA91" s="7">
        <f t="shared" si="17"/>
        <v>43065.98</v>
      </c>
    </row>
    <row r="92" spans="1:27" s="10" customFormat="1" ht="12.75">
      <c r="A92" s="7">
        <f t="shared" si="18"/>
        <v>7</v>
      </c>
      <c r="B92" s="7" t="s">
        <v>95</v>
      </c>
      <c r="C92" s="7">
        <v>8555.88</v>
      </c>
      <c r="D92" s="7">
        <v>1233.68</v>
      </c>
      <c r="E92" s="7">
        <v>8486.65</v>
      </c>
      <c r="F92" s="7">
        <v>1591.13</v>
      </c>
      <c r="G92" s="7">
        <v>25653</v>
      </c>
      <c r="H92" s="7">
        <f t="shared" si="13"/>
        <v>-15575.220000000001</v>
      </c>
      <c r="I92" s="12">
        <v>8850.6</v>
      </c>
      <c r="J92" s="12">
        <v>1297.8</v>
      </c>
      <c r="K92" s="12">
        <v>8904.16</v>
      </c>
      <c r="L92" s="12">
        <v>1226.48</v>
      </c>
      <c r="M92" s="7"/>
      <c r="N92" s="7">
        <f t="shared" si="14"/>
        <v>10130.64</v>
      </c>
      <c r="O92" s="7">
        <v>11907.48</v>
      </c>
      <c r="P92" s="7">
        <v>12347.79</v>
      </c>
      <c r="Q92" s="7">
        <v>35397</v>
      </c>
      <c r="R92" s="7">
        <f t="shared" si="15"/>
        <v>-23049.21</v>
      </c>
      <c r="S92" s="12">
        <v>12313.32</v>
      </c>
      <c r="T92" s="12">
        <v>12291.4</v>
      </c>
      <c r="U92" s="7">
        <v>34343</v>
      </c>
      <c r="V92" s="7">
        <f t="shared" si="16"/>
        <v>-22051.6</v>
      </c>
      <c r="W92" s="7">
        <f>1163.15+1227.65</f>
        <v>2390.8</v>
      </c>
      <c r="X92" s="7">
        <v>590</v>
      </c>
      <c r="Y92" s="7"/>
      <c r="Z92" s="12">
        <v>206.53</v>
      </c>
      <c r="AA92" s="7">
        <f t="shared" si="17"/>
        <v>-53319.66</v>
      </c>
    </row>
    <row r="93" spans="1:27" s="10" customFormat="1" ht="12.75">
      <c r="A93" s="7">
        <f t="shared" si="18"/>
        <v>8</v>
      </c>
      <c r="B93" s="7" t="s">
        <v>96</v>
      </c>
      <c r="C93" s="7">
        <v>45489.24</v>
      </c>
      <c r="D93" s="7">
        <v>1803.96</v>
      </c>
      <c r="E93" s="7">
        <v>42751.36</v>
      </c>
      <c r="F93" s="7">
        <v>1820.42</v>
      </c>
      <c r="G93" s="7">
        <v>0</v>
      </c>
      <c r="H93" s="7">
        <f t="shared" si="13"/>
        <v>44571.78</v>
      </c>
      <c r="I93" s="12">
        <v>48117.9</v>
      </c>
      <c r="J93" s="12">
        <v>793.8</v>
      </c>
      <c r="K93" s="12">
        <v>49294.88</v>
      </c>
      <c r="L93" s="12">
        <v>727.65</v>
      </c>
      <c r="M93" s="7">
        <v>236935</v>
      </c>
      <c r="N93" s="7">
        <f t="shared" si="14"/>
        <v>-186912.47</v>
      </c>
      <c r="O93" s="7">
        <v>57402.24</v>
      </c>
      <c r="P93" s="7">
        <v>53925.51</v>
      </c>
      <c r="Q93" s="7">
        <v>4736</v>
      </c>
      <c r="R93" s="7">
        <f t="shared" si="15"/>
        <v>49189.51</v>
      </c>
      <c r="S93" s="12">
        <v>59346.14</v>
      </c>
      <c r="T93" s="12">
        <v>61704.5</v>
      </c>
      <c r="U93" s="7">
        <v>24713</v>
      </c>
      <c r="V93" s="7">
        <f t="shared" si="16"/>
        <v>36991.5</v>
      </c>
      <c r="W93" s="7">
        <f>2147.86+4203.26+2042.51+12.9</f>
        <v>8406.53</v>
      </c>
      <c r="X93" s="7">
        <f>3438.52+778.8</f>
        <v>4217.32</v>
      </c>
      <c r="Y93" s="7"/>
      <c r="Z93" s="12">
        <v>2713.27</v>
      </c>
      <c r="AA93" s="7">
        <f t="shared" si="17"/>
        <v>-66070.26</v>
      </c>
    </row>
    <row r="94" spans="1:27" s="10" customFormat="1" ht="12.75">
      <c r="A94" s="7">
        <f t="shared" si="18"/>
        <v>9</v>
      </c>
      <c r="B94" s="7" t="s">
        <v>97</v>
      </c>
      <c r="C94" s="7">
        <v>6523.56</v>
      </c>
      <c r="D94" s="7">
        <v>1794</v>
      </c>
      <c r="E94" s="7">
        <v>6423.65</v>
      </c>
      <c r="F94" s="7">
        <v>1785.85</v>
      </c>
      <c r="G94" s="7">
        <v>0</v>
      </c>
      <c r="H94" s="7">
        <f t="shared" si="13"/>
        <v>8209.5</v>
      </c>
      <c r="I94" s="12">
        <v>7135.95</v>
      </c>
      <c r="J94" s="12">
        <v>1435.05</v>
      </c>
      <c r="K94" s="12">
        <v>7235.86</v>
      </c>
      <c r="L94" s="12">
        <v>1435.05</v>
      </c>
      <c r="M94" s="7"/>
      <c r="N94" s="7">
        <f t="shared" si="14"/>
        <v>8670.91</v>
      </c>
      <c r="O94" s="11" t="s">
        <v>187</v>
      </c>
      <c r="P94" s="7">
        <v>10022.91</v>
      </c>
      <c r="Q94" s="7">
        <v>0</v>
      </c>
      <c r="R94" s="7">
        <f t="shared" si="15"/>
        <v>10022.91</v>
      </c>
      <c r="S94" s="12">
        <v>10399.6</v>
      </c>
      <c r="T94" s="12">
        <v>10520.87</v>
      </c>
      <c r="U94" s="7">
        <v>6565</v>
      </c>
      <c r="V94" s="7">
        <f t="shared" si="16"/>
        <v>3955.870000000001</v>
      </c>
      <c r="W94" s="7">
        <f>1012.65+1210.45</f>
        <v>2223.1</v>
      </c>
      <c r="X94" s="7">
        <v>2326.96</v>
      </c>
      <c r="Y94" s="7"/>
      <c r="Z94" s="12">
        <v>860.37</v>
      </c>
      <c r="AA94" s="7">
        <f t="shared" si="17"/>
        <v>27169.500000000004</v>
      </c>
    </row>
    <row r="95" spans="1:27" s="10" customFormat="1" ht="12.75">
      <c r="A95" s="7">
        <f t="shared" si="18"/>
        <v>10</v>
      </c>
      <c r="B95" s="7" t="s">
        <v>99</v>
      </c>
      <c r="C95" s="7">
        <v>51194.16</v>
      </c>
      <c r="D95" s="7">
        <v>3631.56</v>
      </c>
      <c r="E95" s="7">
        <v>48237.56</v>
      </c>
      <c r="F95" s="7">
        <v>3838.61</v>
      </c>
      <c r="G95" s="7">
        <v>0</v>
      </c>
      <c r="H95" s="7">
        <f t="shared" si="13"/>
        <v>52076.17</v>
      </c>
      <c r="I95" s="12">
        <v>52969.47</v>
      </c>
      <c r="J95" s="12">
        <v>3756.6</v>
      </c>
      <c r="K95" s="12">
        <v>54925.09</v>
      </c>
      <c r="L95" s="12">
        <v>3717.27</v>
      </c>
      <c r="M95" s="7"/>
      <c r="N95" s="7">
        <f t="shared" si="14"/>
        <v>58642.35999999999</v>
      </c>
      <c r="O95" s="7">
        <v>66544.56</v>
      </c>
      <c r="P95" s="7">
        <v>62693.43</v>
      </c>
      <c r="Q95" s="7">
        <v>11475</v>
      </c>
      <c r="R95" s="7">
        <f t="shared" si="15"/>
        <v>51218.43</v>
      </c>
      <c r="S95" s="12">
        <v>68827.7</v>
      </c>
      <c r="T95" s="12">
        <v>69299.03</v>
      </c>
      <c r="U95" s="7">
        <v>19157</v>
      </c>
      <c r="V95" s="7">
        <f t="shared" si="16"/>
        <v>50142.03</v>
      </c>
      <c r="W95" s="7">
        <f>4798.82+7697.02</f>
        <v>12495.84</v>
      </c>
      <c r="X95" s="7">
        <f>1899.8+6416.84</f>
        <v>8316.64</v>
      </c>
      <c r="Y95" s="7"/>
      <c r="Z95" s="12">
        <v>1734.75</v>
      </c>
      <c r="AA95" s="7">
        <f t="shared" si="17"/>
        <v>193001.26</v>
      </c>
    </row>
    <row r="96" spans="1:27" s="10" customFormat="1" ht="12.75">
      <c r="A96" s="7">
        <f t="shared" si="18"/>
        <v>11</v>
      </c>
      <c r="B96" s="7" t="s">
        <v>100</v>
      </c>
      <c r="C96" s="7">
        <v>8273.88</v>
      </c>
      <c r="D96" s="7">
        <v>3464.73</v>
      </c>
      <c r="E96" s="7">
        <v>6846.93</v>
      </c>
      <c r="F96" s="7">
        <v>3328.4</v>
      </c>
      <c r="G96" s="7">
        <v>0</v>
      </c>
      <c r="H96" s="7">
        <f t="shared" si="13"/>
        <v>10175.33</v>
      </c>
      <c r="I96" s="12">
        <v>8559</v>
      </c>
      <c r="J96" s="12">
        <v>3645</v>
      </c>
      <c r="K96" s="12">
        <v>7226.65</v>
      </c>
      <c r="L96" s="12">
        <v>3641.23</v>
      </c>
      <c r="M96" s="7"/>
      <c r="N96" s="7">
        <f t="shared" si="14"/>
        <v>10867.88</v>
      </c>
      <c r="O96" s="7">
        <v>14319.48</v>
      </c>
      <c r="P96" s="7">
        <v>12338.34</v>
      </c>
      <c r="Q96" s="7">
        <v>0</v>
      </c>
      <c r="R96" s="7">
        <f t="shared" si="15"/>
        <v>12338.34</v>
      </c>
      <c r="S96" s="12">
        <v>14807.52</v>
      </c>
      <c r="T96" s="12">
        <v>13186.53</v>
      </c>
      <c r="U96" s="7">
        <v>4124</v>
      </c>
      <c r="V96" s="7">
        <f t="shared" si="16"/>
        <v>9062.53</v>
      </c>
      <c r="W96" s="7">
        <f>1105.1+819.15</f>
        <v>1924.25</v>
      </c>
      <c r="X96" s="7">
        <v>1177.64</v>
      </c>
      <c r="Y96" s="7"/>
      <c r="Z96" s="12">
        <v>332.46</v>
      </c>
      <c r="AA96" s="7">
        <f t="shared" si="17"/>
        <v>39674.65</v>
      </c>
    </row>
    <row r="97" spans="1:27" s="10" customFormat="1" ht="12.75">
      <c r="A97" s="7">
        <f t="shared" si="18"/>
        <v>12</v>
      </c>
      <c r="B97" s="7" t="s">
        <v>102</v>
      </c>
      <c r="C97" s="7">
        <v>5523.12</v>
      </c>
      <c r="D97" s="7">
        <v>692.52</v>
      </c>
      <c r="E97" s="7">
        <v>5506.98</v>
      </c>
      <c r="F97" s="7">
        <v>702.28</v>
      </c>
      <c r="G97" s="7">
        <v>0</v>
      </c>
      <c r="H97" s="7">
        <f t="shared" si="13"/>
        <v>6209.259999999999</v>
      </c>
      <c r="I97" s="12">
        <v>5713.2</v>
      </c>
      <c r="J97" s="7"/>
      <c r="K97" s="12">
        <v>5606.07</v>
      </c>
      <c r="L97" s="7"/>
      <c r="M97" s="7"/>
      <c r="N97" s="7">
        <f t="shared" si="14"/>
        <v>5606.07</v>
      </c>
      <c r="O97" s="7">
        <v>7544.16</v>
      </c>
      <c r="P97" s="7">
        <v>7473.91</v>
      </c>
      <c r="Q97" s="7">
        <v>0</v>
      </c>
      <c r="R97" s="7">
        <f t="shared" si="15"/>
        <v>7473.91</v>
      </c>
      <c r="S97" s="12">
        <v>7801.32</v>
      </c>
      <c r="T97" s="12">
        <v>7671.36</v>
      </c>
      <c r="U97" s="7">
        <v>3610</v>
      </c>
      <c r="V97" s="7">
        <f t="shared" si="16"/>
        <v>4061.3599999999997</v>
      </c>
      <c r="W97" s="7">
        <f>1358.81+408.5</f>
        <v>1767.31</v>
      </c>
      <c r="X97" s="7">
        <f>257.24+620.68</f>
        <v>877.92</v>
      </c>
      <c r="Y97" s="7"/>
      <c r="Z97" s="12">
        <v>228.55</v>
      </c>
      <c r="AA97" s="7">
        <f t="shared" si="17"/>
        <v>20933.92</v>
      </c>
    </row>
    <row r="98" spans="1:27" s="10" customFormat="1" ht="12.75">
      <c r="A98" s="7">
        <f t="shared" si="18"/>
        <v>13</v>
      </c>
      <c r="B98" s="7" t="s">
        <v>103</v>
      </c>
      <c r="C98" s="7">
        <v>42231.47</v>
      </c>
      <c r="D98" s="7">
        <v>3546.24</v>
      </c>
      <c r="E98" s="7">
        <v>40404.98</v>
      </c>
      <c r="F98" s="7">
        <v>3155.17</v>
      </c>
      <c r="G98" s="7">
        <v>228320</v>
      </c>
      <c r="H98" s="7">
        <f t="shared" si="13"/>
        <v>-184759.85</v>
      </c>
      <c r="I98" s="12">
        <v>44019.36</v>
      </c>
      <c r="J98" s="12">
        <v>3668.4</v>
      </c>
      <c r="K98" s="12">
        <v>43063.07</v>
      </c>
      <c r="L98" s="12">
        <v>2460.12</v>
      </c>
      <c r="M98" s="7"/>
      <c r="N98" s="7">
        <f t="shared" si="14"/>
        <v>45523.19</v>
      </c>
      <c r="O98" s="7">
        <v>55977.56</v>
      </c>
      <c r="P98" s="7">
        <v>51441.74</v>
      </c>
      <c r="Q98" s="7">
        <v>14030</v>
      </c>
      <c r="R98" s="7">
        <f t="shared" si="15"/>
        <v>37411.74</v>
      </c>
      <c r="S98" s="12">
        <v>57861</v>
      </c>
      <c r="T98" s="12">
        <v>57003.88</v>
      </c>
      <c r="U98" s="7">
        <v>24947</v>
      </c>
      <c r="V98" s="7">
        <f t="shared" si="16"/>
        <v>32056.879999999997</v>
      </c>
      <c r="W98" s="7">
        <f>1369.56+303.15</f>
        <v>1672.71</v>
      </c>
      <c r="X98" s="7">
        <v>1602.44</v>
      </c>
      <c r="Y98" s="7"/>
      <c r="Z98" s="12">
        <v>377.66</v>
      </c>
      <c r="AA98" s="7">
        <f t="shared" si="17"/>
        <v>-72665.53000000001</v>
      </c>
    </row>
    <row r="99" spans="1:27" s="10" customFormat="1" ht="12.75">
      <c r="A99" s="7">
        <f t="shared" si="18"/>
        <v>14</v>
      </c>
      <c r="B99" s="7" t="s">
        <v>104</v>
      </c>
      <c r="C99" s="7">
        <v>12217.44</v>
      </c>
      <c r="D99" s="7">
        <v>439.68</v>
      </c>
      <c r="E99" s="7">
        <v>11999.46</v>
      </c>
      <c r="F99" s="7">
        <v>439.68</v>
      </c>
      <c r="G99" s="7">
        <v>0</v>
      </c>
      <c r="H99" s="7">
        <f t="shared" si="13"/>
        <v>12439.14</v>
      </c>
      <c r="I99" s="12">
        <v>13105.8</v>
      </c>
      <c r="J99" s="7"/>
      <c r="K99" s="12">
        <v>13043.76</v>
      </c>
      <c r="L99" s="7"/>
      <c r="M99" s="7"/>
      <c r="N99" s="7">
        <f t="shared" si="14"/>
        <v>13043.76</v>
      </c>
      <c r="O99" s="7">
        <v>15362.64</v>
      </c>
      <c r="P99" s="7">
        <v>15104.27</v>
      </c>
      <c r="Q99" s="7">
        <v>23305</v>
      </c>
      <c r="R99" s="7">
        <f t="shared" si="15"/>
        <v>-8200.73</v>
      </c>
      <c r="S99" s="12">
        <v>15901.56</v>
      </c>
      <c r="T99" s="12">
        <v>15832.38</v>
      </c>
      <c r="U99" s="7">
        <v>5275</v>
      </c>
      <c r="V99" s="7">
        <f t="shared" si="16"/>
        <v>10557.38</v>
      </c>
      <c r="W99" s="7">
        <f>500.95+1360.96</f>
        <v>1861.91</v>
      </c>
      <c r="X99" s="7">
        <f>153.4+450.76</f>
        <v>604.16</v>
      </c>
      <c r="Y99" s="7"/>
      <c r="Z99" s="12">
        <v>103.01</v>
      </c>
      <c r="AA99" s="7">
        <f t="shared" si="17"/>
        <v>25476.49</v>
      </c>
    </row>
    <row r="100" spans="1:27" s="10" customFormat="1" ht="12.75">
      <c r="A100" s="7">
        <f t="shared" si="18"/>
        <v>15</v>
      </c>
      <c r="B100" s="7" t="s">
        <v>105</v>
      </c>
      <c r="C100" s="7">
        <v>76935.82</v>
      </c>
      <c r="D100" s="7">
        <v>15245.21</v>
      </c>
      <c r="E100" s="7">
        <v>73814.44</v>
      </c>
      <c r="F100" s="7">
        <v>16760.11</v>
      </c>
      <c r="G100" s="7">
        <v>0</v>
      </c>
      <c r="H100" s="7">
        <f t="shared" si="13"/>
        <v>90574.55</v>
      </c>
      <c r="I100" s="12">
        <v>81713.28</v>
      </c>
      <c r="J100" s="12">
        <v>13690.32</v>
      </c>
      <c r="K100" s="12">
        <v>82433.18</v>
      </c>
      <c r="L100" s="12">
        <v>12177.21</v>
      </c>
      <c r="M100" s="7">
        <v>1939</v>
      </c>
      <c r="N100" s="7">
        <f t="shared" si="14"/>
        <v>92671.38999999998</v>
      </c>
      <c r="O100" s="7">
        <v>112308.52</v>
      </c>
      <c r="P100" s="7">
        <v>109540.3</v>
      </c>
      <c r="Q100" s="7">
        <v>37073</v>
      </c>
      <c r="R100" s="7">
        <f t="shared" si="15"/>
        <v>72467.3</v>
      </c>
      <c r="S100" s="12">
        <v>115756.57</v>
      </c>
      <c r="T100" s="12">
        <v>114529.41</v>
      </c>
      <c r="U100" s="7">
        <v>45077</v>
      </c>
      <c r="V100" s="7">
        <f t="shared" si="16"/>
        <v>69452.41</v>
      </c>
      <c r="W100" s="7">
        <f>21381.82+14613.6</f>
        <v>35995.42</v>
      </c>
      <c r="X100" s="7">
        <v>35395.28</v>
      </c>
      <c r="Y100" s="7"/>
      <c r="Z100" s="12">
        <v>11837.82</v>
      </c>
      <c r="AA100" s="7">
        <f t="shared" si="17"/>
        <v>265612.77</v>
      </c>
    </row>
    <row r="101" spans="1:27" s="10" customFormat="1" ht="12.75">
      <c r="A101" s="7">
        <f t="shared" si="18"/>
        <v>16</v>
      </c>
      <c r="B101" s="7" t="s">
        <v>106</v>
      </c>
      <c r="C101" s="7">
        <v>58073.89</v>
      </c>
      <c r="D101" s="7">
        <v>7456.6</v>
      </c>
      <c r="E101" s="7">
        <v>55218.08</v>
      </c>
      <c r="F101" s="7">
        <v>6127.29</v>
      </c>
      <c r="G101" s="7">
        <v>0</v>
      </c>
      <c r="H101" s="7">
        <f t="shared" si="13"/>
        <v>61345.37</v>
      </c>
      <c r="I101" s="12">
        <v>61875.6</v>
      </c>
      <c r="J101" s="12">
        <v>5905.8</v>
      </c>
      <c r="K101" s="12">
        <v>61143.14</v>
      </c>
      <c r="L101" s="12">
        <v>6477.62</v>
      </c>
      <c r="M101" s="7"/>
      <c r="N101" s="7">
        <f t="shared" si="14"/>
        <v>67620.76</v>
      </c>
      <c r="O101" s="7">
        <v>79537.74</v>
      </c>
      <c r="P101" s="7">
        <v>74853.16</v>
      </c>
      <c r="Q101" s="7">
        <v>14805</v>
      </c>
      <c r="R101" s="7">
        <f t="shared" si="15"/>
        <v>60048.16</v>
      </c>
      <c r="S101" s="12">
        <v>82241.72</v>
      </c>
      <c r="T101" s="12">
        <v>79542.95</v>
      </c>
      <c r="U101" s="7">
        <v>48864</v>
      </c>
      <c r="V101" s="7">
        <f t="shared" si="16"/>
        <v>30678.949999999997</v>
      </c>
      <c r="W101" s="7">
        <f>17849.36+2276.86</f>
        <v>20126.22</v>
      </c>
      <c r="X101" s="7">
        <v>25136.36</v>
      </c>
      <c r="Y101" s="7"/>
      <c r="Z101" s="12">
        <v>7947.24</v>
      </c>
      <c r="AA101" s="7">
        <f t="shared" si="17"/>
        <v>182377.89999999997</v>
      </c>
    </row>
    <row r="102" spans="1:27" s="10" customFormat="1" ht="12.75">
      <c r="A102" s="7">
        <f t="shared" si="18"/>
        <v>17</v>
      </c>
      <c r="B102" s="7" t="s">
        <v>107</v>
      </c>
      <c r="C102" s="7">
        <v>76899.35</v>
      </c>
      <c r="D102" s="7">
        <v>2763.24</v>
      </c>
      <c r="E102" s="7">
        <v>74886.59</v>
      </c>
      <c r="F102" s="7">
        <v>2553.29</v>
      </c>
      <c r="G102" s="7">
        <v>0</v>
      </c>
      <c r="H102" s="7">
        <f t="shared" si="13"/>
        <v>77439.87999999999</v>
      </c>
      <c r="I102" s="12">
        <v>79644.63</v>
      </c>
      <c r="J102" s="12">
        <v>2858.4</v>
      </c>
      <c r="K102" s="12">
        <v>76389.42</v>
      </c>
      <c r="L102" s="12">
        <v>3039.04</v>
      </c>
      <c r="M102" s="7">
        <v>202191</v>
      </c>
      <c r="N102" s="7">
        <f t="shared" si="14"/>
        <v>-122762.54000000001</v>
      </c>
      <c r="O102" s="7">
        <v>96690.89</v>
      </c>
      <c r="P102" s="7">
        <v>92773.91</v>
      </c>
      <c r="Q102" s="7">
        <v>26114</v>
      </c>
      <c r="R102" s="7">
        <f t="shared" si="15"/>
        <v>66659.91</v>
      </c>
      <c r="S102" s="12">
        <v>100103.42</v>
      </c>
      <c r="T102" s="12">
        <v>97893.92</v>
      </c>
      <c r="U102" s="7">
        <v>180818</v>
      </c>
      <c r="V102" s="7">
        <f t="shared" si="16"/>
        <v>-82924.08</v>
      </c>
      <c r="W102" s="7">
        <f>7974.38+11803.54+9601.93+10062.03</f>
        <v>39441.880000000005</v>
      </c>
      <c r="X102" s="7">
        <f>21811.12+3209.6+11792.92</f>
        <v>36813.64</v>
      </c>
      <c r="Y102" s="7"/>
      <c r="Z102" s="12">
        <v>10034.62</v>
      </c>
      <c r="AA102" s="7">
        <f t="shared" si="17"/>
        <v>-127807.73000000004</v>
      </c>
    </row>
    <row r="103" spans="1:27" s="10" customFormat="1" ht="12.75">
      <c r="A103" s="7">
        <f t="shared" si="18"/>
        <v>18</v>
      </c>
      <c r="B103" s="7" t="s">
        <v>108</v>
      </c>
      <c r="C103" s="7">
        <v>31649.51</v>
      </c>
      <c r="D103" s="7">
        <v>2777.16</v>
      </c>
      <c r="E103" s="7">
        <v>30017.84</v>
      </c>
      <c r="F103" s="7">
        <v>2533.54</v>
      </c>
      <c r="G103" s="7">
        <v>0</v>
      </c>
      <c r="H103" s="7">
        <f t="shared" si="13"/>
        <v>32551.38</v>
      </c>
      <c r="I103" s="12">
        <v>33966.96</v>
      </c>
      <c r="J103" s="12">
        <v>1674.3</v>
      </c>
      <c r="K103" s="12">
        <v>34480.19</v>
      </c>
      <c r="L103" s="12">
        <v>1670.31</v>
      </c>
      <c r="M103" s="7"/>
      <c r="N103" s="7">
        <f t="shared" si="14"/>
        <v>36150.5</v>
      </c>
      <c r="O103" s="7">
        <v>41785.89</v>
      </c>
      <c r="P103" s="7">
        <v>39674.03</v>
      </c>
      <c r="Q103" s="7">
        <v>60557</v>
      </c>
      <c r="R103" s="7">
        <f t="shared" si="15"/>
        <v>-20882.97</v>
      </c>
      <c r="S103" s="12">
        <v>43244.51</v>
      </c>
      <c r="T103" s="12">
        <v>43389.47</v>
      </c>
      <c r="U103" s="7">
        <v>46848</v>
      </c>
      <c r="V103" s="7">
        <f t="shared" si="16"/>
        <v>-3458.529999999999</v>
      </c>
      <c r="W103" s="7">
        <f>7484.17+10556.54</f>
        <v>18040.71</v>
      </c>
      <c r="X103" s="7">
        <v>15384.84</v>
      </c>
      <c r="Y103" s="7"/>
      <c r="Z103" s="12">
        <v>5615.29</v>
      </c>
      <c r="AA103" s="7">
        <f t="shared" si="17"/>
        <v>16550.120000000006</v>
      </c>
    </row>
    <row r="104" spans="1:27" s="10" customFormat="1" ht="12.75">
      <c r="A104" s="7">
        <f t="shared" si="18"/>
        <v>19</v>
      </c>
      <c r="B104" s="7" t="s">
        <v>109</v>
      </c>
      <c r="C104" s="7">
        <v>44447.19</v>
      </c>
      <c r="D104" s="7">
        <v>2291.64</v>
      </c>
      <c r="E104" s="7">
        <v>41936.7</v>
      </c>
      <c r="F104" s="7">
        <v>1279.68</v>
      </c>
      <c r="G104" s="7">
        <v>0</v>
      </c>
      <c r="H104" s="7">
        <f t="shared" si="13"/>
        <v>43216.38</v>
      </c>
      <c r="I104" s="12">
        <v>46526.52</v>
      </c>
      <c r="J104" s="12">
        <v>1834.2</v>
      </c>
      <c r="K104" s="12">
        <v>43288.15</v>
      </c>
      <c r="L104" s="12">
        <v>822.74</v>
      </c>
      <c r="M104" s="7"/>
      <c r="N104" s="7">
        <f t="shared" si="14"/>
        <v>44110.89</v>
      </c>
      <c r="O104" s="7">
        <v>56729.24</v>
      </c>
      <c r="P104" s="7">
        <v>52427.07</v>
      </c>
      <c r="Q104" s="7">
        <v>1965</v>
      </c>
      <c r="R104" s="7">
        <f t="shared" si="15"/>
        <v>50462.07</v>
      </c>
      <c r="S104" s="12">
        <v>58678.08</v>
      </c>
      <c r="T104" s="12">
        <v>55583.31</v>
      </c>
      <c r="U104" s="7">
        <v>3881</v>
      </c>
      <c r="V104" s="7">
        <f t="shared" si="16"/>
        <v>51702.31</v>
      </c>
      <c r="W104" s="7">
        <f>8653.78+6905.82</f>
        <v>15559.6</v>
      </c>
      <c r="X104" s="7">
        <v>13527.52</v>
      </c>
      <c r="Y104" s="7"/>
      <c r="Z104" s="12">
        <v>4495.8</v>
      </c>
      <c r="AA104" s="7">
        <f t="shared" si="17"/>
        <v>164900.33</v>
      </c>
    </row>
    <row r="105" spans="1:27" s="10" customFormat="1" ht="12.75">
      <c r="A105" s="7">
        <f t="shared" si="18"/>
        <v>20</v>
      </c>
      <c r="B105" s="7" t="s">
        <v>110</v>
      </c>
      <c r="C105" s="7">
        <v>51497.14</v>
      </c>
      <c r="D105" s="7">
        <v>11703.96</v>
      </c>
      <c r="E105" s="7">
        <v>47005.8</v>
      </c>
      <c r="F105" s="7">
        <v>9582.5</v>
      </c>
      <c r="G105" s="7">
        <v>0</v>
      </c>
      <c r="H105" s="7">
        <f t="shared" si="13"/>
        <v>56588.3</v>
      </c>
      <c r="I105" s="12">
        <v>53376.3</v>
      </c>
      <c r="J105" s="7"/>
      <c r="K105" s="12">
        <v>56275.18</v>
      </c>
      <c r="L105" s="7"/>
      <c r="M105" s="7"/>
      <c r="N105" s="7">
        <f t="shared" si="14"/>
        <v>56275.18</v>
      </c>
      <c r="O105" s="7">
        <v>62505.24</v>
      </c>
      <c r="P105" s="7">
        <v>58639.4</v>
      </c>
      <c r="Q105" s="7">
        <v>4173</v>
      </c>
      <c r="R105" s="7">
        <f t="shared" si="15"/>
        <v>54466.4</v>
      </c>
      <c r="S105" s="12">
        <v>64763.62</v>
      </c>
      <c r="T105" s="12">
        <v>68351.13</v>
      </c>
      <c r="U105" s="7">
        <v>39610</v>
      </c>
      <c r="V105" s="7">
        <f t="shared" si="16"/>
        <v>28741.130000000005</v>
      </c>
      <c r="W105" s="7">
        <f>19193.11+6708.02</f>
        <v>25901.13</v>
      </c>
      <c r="X105" s="7">
        <v>18372.6</v>
      </c>
      <c r="Y105" s="7"/>
      <c r="Z105" s="12">
        <v>5804.02</v>
      </c>
      <c r="AA105" s="7">
        <f t="shared" si="17"/>
        <v>157601.3</v>
      </c>
    </row>
    <row r="106" spans="1:27" s="10" customFormat="1" ht="12.75">
      <c r="A106" s="7">
        <f t="shared" si="18"/>
        <v>21</v>
      </c>
      <c r="B106" s="7" t="s">
        <v>111</v>
      </c>
      <c r="C106" s="7">
        <v>44644.76</v>
      </c>
      <c r="D106" s="7">
        <v>3862.8</v>
      </c>
      <c r="E106" s="7">
        <v>43466.74</v>
      </c>
      <c r="F106" s="7">
        <v>3862.8</v>
      </c>
      <c r="G106" s="7">
        <v>0</v>
      </c>
      <c r="H106" s="7">
        <f t="shared" si="13"/>
        <v>47329.54</v>
      </c>
      <c r="I106" s="12">
        <v>48226.5</v>
      </c>
      <c r="J106" s="12">
        <v>10137.3</v>
      </c>
      <c r="K106" s="12">
        <v>48055.65</v>
      </c>
      <c r="L106" s="12">
        <v>11604</v>
      </c>
      <c r="M106" s="7"/>
      <c r="N106" s="7">
        <f t="shared" si="14"/>
        <v>59659.65</v>
      </c>
      <c r="O106" s="7">
        <v>68392.9</v>
      </c>
      <c r="P106" s="7">
        <v>64832.86</v>
      </c>
      <c r="Q106" s="7">
        <v>3132</v>
      </c>
      <c r="R106" s="7">
        <f t="shared" si="15"/>
        <v>61700.86</v>
      </c>
      <c r="S106" s="12">
        <v>70814.65</v>
      </c>
      <c r="T106" s="12">
        <v>68864.05</v>
      </c>
      <c r="U106" s="7">
        <v>21304</v>
      </c>
      <c r="V106" s="7">
        <f t="shared" si="16"/>
        <v>47560.05</v>
      </c>
      <c r="W106" s="7">
        <f>5510.47+3091.71</f>
        <v>8602.18</v>
      </c>
      <c r="X106" s="7">
        <f>542.8+4887.56</f>
        <v>5430.360000000001</v>
      </c>
      <c r="Y106" s="7"/>
      <c r="Z106" s="12">
        <v>1354.44</v>
      </c>
      <c r="AA106" s="7">
        <f t="shared" si="17"/>
        <v>203572</v>
      </c>
    </row>
    <row r="107" spans="1:27" s="10" customFormat="1" ht="12.75">
      <c r="A107" s="7">
        <f t="shared" si="18"/>
        <v>22</v>
      </c>
      <c r="B107" s="7" t="s">
        <v>112</v>
      </c>
      <c r="C107" s="7">
        <v>17995.31</v>
      </c>
      <c r="D107" s="7">
        <v>11551.52</v>
      </c>
      <c r="E107" s="7">
        <v>18023.09</v>
      </c>
      <c r="F107" s="7">
        <v>10049.39</v>
      </c>
      <c r="G107" s="7">
        <v>0</v>
      </c>
      <c r="H107" s="7">
        <f t="shared" si="13"/>
        <v>28072.48</v>
      </c>
      <c r="I107" s="12">
        <v>18669.6</v>
      </c>
      <c r="J107" s="12">
        <v>3997.35</v>
      </c>
      <c r="K107" s="12">
        <v>18643.46</v>
      </c>
      <c r="L107" s="12">
        <v>3997.35</v>
      </c>
      <c r="M107" s="7"/>
      <c r="N107" s="7">
        <f t="shared" si="14"/>
        <v>22640.809999999998</v>
      </c>
      <c r="O107" s="7">
        <v>2653.13</v>
      </c>
      <c r="P107" s="7">
        <v>26678.29</v>
      </c>
      <c r="Q107" s="7">
        <v>20199</v>
      </c>
      <c r="R107" s="7">
        <f t="shared" si="15"/>
        <v>6479.290000000001</v>
      </c>
      <c r="S107" s="12">
        <v>27502.89</v>
      </c>
      <c r="T107" s="12">
        <v>26604.53</v>
      </c>
      <c r="U107" s="7">
        <v>5356</v>
      </c>
      <c r="V107" s="7">
        <f t="shared" si="16"/>
        <v>21248.53</v>
      </c>
      <c r="W107" s="7">
        <f>4824.61+3756.06</f>
        <v>8580.67</v>
      </c>
      <c r="X107" s="7">
        <f>1722.8+7141.36</f>
        <v>8864.16</v>
      </c>
      <c r="Y107" s="7"/>
      <c r="Z107" s="12">
        <v>2324.13</v>
      </c>
      <c r="AA107" s="7">
        <f t="shared" si="17"/>
        <v>63320.40999999998</v>
      </c>
    </row>
    <row r="108" spans="1:27" s="10" customFormat="1" ht="12.75">
      <c r="A108" s="7">
        <f t="shared" si="18"/>
        <v>23</v>
      </c>
      <c r="B108" s="7" t="s">
        <v>113</v>
      </c>
      <c r="C108" s="7">
        <v>61007.33</v>
      </c>
      <c r="D108" s="7">
        <v>5819.84</v>
      </c>
      <c r="E108" s="7">
        <v>58974.62</v>
      </c>
      <c r="F108" s="7">
        <v>5769.71</v>
      </c>
      <c r="G108" s="7">
        <v>0</v>
      </c>
      <c r="H108" s="7">
        <f t="shared" si="13"/>
        <v>64744.33</v>
      </c>
      <c r="I108" s="12">
        <v>65076.75</v>
      </c>
      <c r="J108" s="12">
        <v>10008</v>
      </c>
      <c r="K108" s="12">
        <v>64551.54</v>
      </c>
      <c r="L108" s="12">
        <v>9262.53</v>
      </c>
      <c r="M108" s="7">
        <v>92118</v>
      </c>
      <c r="N108" s="7">
        <f t="shared" si="14"/>
        <v>-18303.929999999993</v>
      </c>
      <c r="O108" s="7">
        <v>87632.18</v>
      </c>
      <c r="P108" s="7">
        <v>84301.33</v>
      </c>
      <c r="Q108" s="7">
        <v>186284</v>
      </c>
      <c r="R108" s="7">
        <f t="shared" si="15"/>
        <v>-101982.67</v>
      </c>
      <c r="S108" s="12">
        <v>90652.38</v>
      </c>
      <c r="T108" s="12">
        <v>89334.04</v>
      </c>
      <c r="U108" s="7">
        <v>39134</v>
      </c>
      <c r="V108" s="7">
        <f t="shared" si="16"/>
        <v>50200.03999999999</v>
      </c>
      <c r="W108" s="7">
        <f>10025.48+25868.89</f>
        <v>35894.369999999995</v>
      </c>
      <c r="X108" s="7">
        <v>12123.32</v>
      </c>
      <c r="Y108" s="7"/>
      <c r="Z108" s="12">
        <v>670.94</v>
      </c>
      <c r="AA108" s="7">
        <f t="shared" si="17"/>
        <v>-52688.97999999999</v>
      </c>
    </row>
    <row r="109" spans="1:27" s="10" customFormat="1" ht="12.75">
      <c r="A109" s="7">
        <f t="shared" si="18"/>
        <v>24</v>
      </c>
      <c r="B109" s="7" t="s">
        <v>114</v>
      </c>
      <c r="C109" s="7">
        <v>35864.77</v>
      </c>
      <c r="D109" s="7">
        <v>6826.92</v>
      </c>
      <c r="E109" s="7">
        <v>34337.54</v>
      </c>
      <c r="F109" s="7">
        <v>4592.04</v>
      </c>
      <c r="G109" s="7">
        <v>0</v>
      </c>
      <c r="H109" s="7">
        <f t="shared" si="13"/>
        <v>38929.58</v>
      </c>
      <c r="I109" s="12">
        <v>39247.2</v>
      </c>
      <c r="J109" s="12">
        <v>3889.8</v>
      </c>
      <c r="K109" s="12">
        <v>39500.66</v>
      </c>
      <c r="L109" s="12">
        <v>3784.95</v>
      </c>
      <c r="M109" s="7"/>
      <c r="N109" s="7">
        <f t="shared" si="14"/>
        <v>43285.61</v>
      </c>
      <c r="O109" s="7">
        <v>50595.05</v>
      </c>
      <c r="P109" s="7">
        <v>49320.89</v>
      </c>
      <c r="Q109" s="7">
        <v>1620</v>
      </c>
      <c r="R109" s="7">
        <f t="shared" si="15"/>
        <v>47700.89</v>
      </c>
      <c r="S109" s="12">
        <v>52339.52</v>
      </c>
      <c r="T109" s="12">
        <v>52536.71</v>
      </c>
      <c r="U109" s="7">
        <v>3410</v>
      </c>
      <c r="V109" s="7">
        <f t="shared" si="16"/>
        <v>49126.71</v>
      </c>
      <c r="W109" s="7">
        <v>20898.07</v>
      </c>
      <c r="X109" s="7">
        <f>26955.92+6372</f>
        <v>33327.92</v>
      </c>
      <c r="Y109" s="7"/>
      <c r="Z109" s="12">
        <v>12803.88</v>
      </c>
      <c r="AA109" s="7">
        <f t="shared" si="17"/>
        <v>137620.68</v>
      </c>
    </row>
    <row r="110" spans="1:27" s="10" customFormat="1" ht="12.75">
      <c r="A110" s="7">
        <f t="shared" si="18"/>
        <v>25</v>
      </c>
      <c r="B110" s="7" t="s">
        <v>115</v>
      </c>
      <c r="C110" s="7">
        <v>63971.92</v>
      </c>
      <c r="D110" s="7">
        <v>5965.28</v>
      </c>
      <c r="E110" s="7">
        <v>61680.75</v>
      </c>
      <c r="F110" s="7">
        <v>6374.51</v>
      </c>
      <c r="G110" s="7">
        <v>0</v>
      </c>
      <c r="H110" s="7">
        <f t="shared" si="13"/>
        <v>68055.26</v>
      </c>
      <c r="I110" s="12">
        <v>69747.24</v>
      </c>
      <c r="J110" s="12">
        <v>3611.7</v>
      </c>
      <c r="K110" s="12">
        <v>69632.24</v>
      </c>
      <c r="L110" s="12">
        <v>1676.36</v>
      </c>
      <c r="M110" s="7"/>
      <c r="N110" s="7">
        <f t="shared" si="14"/>
        <v>71308.6</v>
      </c>
      <c r="O110" s="7">
        <v>85932.42</v>
      </c>
      <c r="P110" s="7">
        <v>79261.32</v>
      </c>
      <c r="Q110" s="7">
        <v>13797</v>
      </c>
      <c r="R110" s="7">
        <f t="shared" si="15"/>
        <v>65464.32000000001</v>
      </c>
      <c r="S110" s="12">
        <v>89008.39</v>
      </c>
      <c r="T110" s="12">
        <v>88027.07</v>
      </c>
      <c r="U110" s="7">
        <v>24356</v>
      </c>
      <c r="V110" s="7">
        <f t="shared" si="16"/>
        <v>63671.07000000001</v>
      </c>
      <c r="W110" s="7">
        <f>9107.43+6738.12+3379.81+2134.96+3059.46+4300.01</f>
        <v>28719.79</v>
      </c>
      <c r="X110" s="7">
        <f>12165.8+6836.92+6183.2</f>
        <v>25185.920000000002</v>
      </c>
      <c r="Y110" s="7"/>
      <c r="Z110" s="12">
        <v>8076.28</v>
      </c>
      <c r="AA110" s="7">
        <f t="shared" si="17"/>
        <v>222669.81999999998</v>
      </c>
    </row>
    <row r="111" spans="1:27" s="10" customFormat="1" ht="12.75">
      <c r="A111" s="7">
        <f t="shared" si="18"/>
        <v>26</v>
      </c>
      <c r="B111" s="7" t="s">
        <v>188</v>
      </c>
      <c r="C111" s="7">
        <v>0</v>
      </c>
      <c r="D111" s="7">
        <v>0</v>
      </c>
      <c r="E111" s="7">
        <v>5965.28</v>
      </c>
      <c r="F111" s="7">
        <v>6374.51</v>
      </c>
      <c r="G111" s="7">
        <v>11573</v>
      </c>
      <c r="H111" s="7">
        <f t="shared" si="13"/>
        <v>766.7900000000009</v>
      </c>
      <c r="I111" s="12">
        <v>930.3</v>
      </c>
      <c r="J111" s="12">
        <v>5268</v>
      </c>
      <c r="K111" s="12">
        <v>929.49</v>
      </c>
      <c r="L111" s="12">
        <v>5968.56</v>
      </c>
      <c r="M111" s="7"/>
      <c r="N111" s="7">
        <f t="shared" si="14"/>
        <v>6898.05</v>
      </c>
      <c r="O111" s="7">
        <v>1941.61</v>
      </c>
      <c r="P111" s="7">
        <v>2302.54</v>
      </c>
      <c r="Q111" s="7">
        <v>1084</v>
      </c>
      <c r="R111" s="7">
        <f t="shared" si="15"/>
        <v>1218.54</v>
      </c>
      <c r="S111" s="12">
        <v>2025.41</v>
      </c>
      <c r="T111" s="12">
        <v>1976.81</v>
      </c>
      <c r="U111" s="7">
        <v>4279</v>
      </c>
      <c r="V111" s="7">
        <f t="shared" si="16"/>
        <v>-2302.19</v>
      </c>
      <c r="W111" s="7">
        <f>40134+35880.21</f>
        <v>76014.20999999999</v>
      </c>
      <c r="X111" s="7">
        <v>81008.68</v>
      </c>
      <c r="Y111" s="7">
        <v>63006.26</v>
      </c>
      <c r="Z111" s="12">
        <v>409.55</v>
      </c>
      <c r="AA111" s="7">
        <f t="shared" si="17"/>
        <v>-87025.88999999997</v>
      </c>
    </row>
    <row r="112" spans="1:27" s="10" customFormat="1" ht="12.75">
      <c r="A112" s="7">
        <f t="shared" si="18"/>
        <v>27</v>
      </c>
      <c r="B112" s="7" t="s">
        <v>17</v>
      </c>
      <c r="C112" s="7">
        <v>11503.56</v>
      </c>
      <c r="D112" s="7">
        <v>1158.84</v>
      </c>
      <c r="E112" s="7">
        <v>10656.18</v>
      </c>
      <c r="F112" s="7">
        <v>1084.6</v>
      </c>
      <c r="G112" s="7">
        <v>0</v>
      </c>
      <c r="H112" s="7">
        <f t="shared" si="13"/>
        <v>11740.78</v>
      </c>
      <c r="I112" s="12">
        <v>12360.6</v>
      </c>
      <c r="J112" s="12">
        <v>738</v>
      </c>
      <c r="K112" s="12">
        <v>12163.65</v>
      </c>
      <c r="L112" s="12">
        <v>738</v>
      </c>
      <c r="M112" s="7"/>
      <c r="N112" s="7">
        <f t="shared" si="14"/>
        <v>12901.65</v>
      </c>
      <c r="O112" s="7">
        <v>15369.12</v>
      </c>
      <c r="P112" s="7">
        <v>13874.78</v>
      </c>
      <c r="Q112" s="7">
        <v>41054</v>
      </c>
      <c r="R112" s="7">
        <f t="shared" si="15"/>
        <v>-27179.22</v>
      </c>
      <c r="S112" s="12">
        <v>15893.04</v>
      </c>
      <c r="T112" s="12">
        <v>15703</v>
      </c>
      <c r="U112" s="7">
        <v>29312</v>
      </c>
      <c r="V112" s="7">
        <f t="shared" si="16"/>
        <v>-13609</v>
      </c>
      <c r="W112" s="7">
        <v>13932.05</v>
      </c>
      <c r="X112" s="7">
        <v>7929.6</v>
      </c>
      <c r="Y112" s="7"/>
      <c r="Z112" s="12">
        <v>1519.38</v>
      </c>
      <c r="AA112" s="7">
        <f t="shared" si="17"/>
        <v>-36488.060000000005</v>
      </c>
    </row>
    <row r="113" spans="1:27" s="10" customFormat="1" ht="12.75">
      <c r="A113" s="7">
        <f t="shared" si="18"/>
        <v>28</v>
      </c>
      <c r="B113" s="7" t="s">
        <v>18</v>
      </c>
      <c r="C113" s="7">
        <v>6789.72</v>
      </c>
      <c r="D113" s="7">
        <v>0</v>
      </c>
      <c r="E113" s="7">
        <v>6528.03</v>
      </c>
      <c r="F113" s="7">
        <v>0</v>
      </c>
      <c r="G113" s="7">
        <v>198601</v>
      </c>
      <c r="H113" s="7">
        <f t="shared" si="13"/>
        <v>-192072.97</v>
      </c>
      <c r="I113" s="12">
        <v>7023.6</v>
      </c>
      <c r="J113" s="7"/>
      <c r="K113" s="12">
        <v>7231.7</v>
      </c>
      <c r="L113" s="7"/>
      <c r="M113" s="7"/>
      <c r="N113" s="7">
        <f t="shared" si="14"/>
        <v>7231.7</v>
      </c>
      <c r="O113" s="7">
        <v>8241.12</v>
      </c>
      <c r="P113" s="7">
        <v>7682.02</v>
      </c>
      <c r="Q113" s="7">
        <v>3229</v>
      </c>
      <c r="R113" s="7">
        <f t="shared" si="15"/>
        <v>4453.02</v>
      </c>
      <c r="S113" s="12">
        <v>8521.8</v>
      </c>
      <c r="T113" s="12">
        <v>9037.22</v>
      </c>
      <c r="U113" s="7">
        <v>9581</v>
      </c>
      <c r="V113" s="7">
        <f t="shared" si="16"/>
        <v>-543.7800000000007</v>
      </c>
      <c r="W113" s="7">
        <v>2089.81</v>
      </c>
      <c r="X113" s="7">
        <f>641.92+1293.28</f>
        <v>1935.1999999999998</v>
      </c>
      <c r="Y113" s="7"/>
      <c r="Z113" s="12">
        <v>722.83</v>
      </c>
      <c r="AA113" s="7">
        <f t="shared" si="17"/>
        <v>-184234.21000000002</v>
      </c>
    </row>
    <row r="114" spans="1:27" s="10" customFormat="1" ht="12.75">
      <c r="A114" s="7">
        <f t="shared" si="18"/>
        <v>29</v>
      </c>
      <c r="B114" s="7" t="s">
        <v>19</v>
      </c>
      <c r="C114" s="7">
        <v>17352.92</v>
      </c>
      <c r="D114" s="7">
        <v>1489.56</v>
      </c>
      <c r="E114" s="7">
        <v>15868.67</v>
      </c>
      <c r="F114" s="7">
        <v>11477.32</v>
      </c>
      <c r="G114" s="7">
        <v>0</v>
      </c>
      <c r="H114" s="7">
        <f t="shared" si="13"/>
        <v>27345.989999999998</v>
      </c>
      <c r="I114" s="12">
        <v>18618.75</v>
      </c>
      <c r="J114" s="12">
        <v>805.8</v>
      </c>
      <c r="K114" s="12">
        <v>17376.01</v>
      </c>
      <c r="L114" s="12">
        <v>685.09</v>
      </c>
      <c r="M114" s="7">
        <v>43046</v>
      </c>
      <c r="N114" s="7">
        <f t="shared" si="14"/>
        <v>-24984.9</v>
      </c>
      <c r="O114" s="7">
        <v>22870.42</v>
      </c>
      <c r="P114" s="7">
        <v>33417.41</v>
      </c>
      <c r="Q114" s="7">
        <v>1432</v>
      </c>
      <c r="R114" s="7">
        <f t="shared" si="15"/>
        <v>31985.410000000003</v>
      </c>
      <c r="S114" s="12">
        <v>23568.6</v>
      </c>
      <c r="T114" s="12">
        <v>23114.1</v>
      </c>
      <c r="U114" s="7">
        <v>3285</v>
      </c>
      <c r="V114" s="7">
        <f t="shared" si="16"/>
        <v>19829.1</v>
      </c>
      <c r="W114" s="7">
        <v>4179.61</v>
      </c>
      <c r="X114" s="7">
        <v>2378.88</v>
      </c>
      <c r="Y114" s="7"/>
      <c r="Z114" s="12">
        <v>1187.08</v>
      </c>
      <c r="AA114" s="7">
        <f t="shared" si="17"/>
        <v>48804.19</v>
      </c>
    </row>
    <row r="115" spans="1:27" s="10" customFormat="1" ht="12.75">
      <c r="A115" s="7">
        <f t="shared" si="18"/>
        <v>30</v>
      </c>
      <c r="B115" s="7" t="s">
        <v>20</v>
      </c>
      <c r="C115" s="7">
        <v>21225.14</v>
      </c>
      <c r="D115" s="7">
        <v>845.64</v>
      </c>
      <c r="E115" s="7">
        <v>21306.73</v>
      </c>
      <c r="F115" s="7">
        <v>845.64</v>
      </c>
      <c r="G115" s="7">
        <v>45958</v>
      </c>
      <c r="H115" s="7">
        <f t="shared" si="13"/>
        <v>-23805.63</v>
      </c>
      <c r="I115" s="12">
        <v>22731.6</v>
      </c>
      <c r="J115" s="12">
        <v>72.9</v>
      </c>
      <c r="K115" s="12">
        <v>22700.13</v>
      </c>
      <c r="L115" s="12">
        <v>144.34</v>
      </c>
      <c r="M115" s="7"/>
      <c r="N115" s="7">
        <f t="shared" si="14"/>
        <v>22844.47</v>
      </c>
      <c r="O115" s="7">
        <v>26789.61</v>
      </c>
      <c r="P115" s="7">
        <v>26486.74</v>
      </c>
      <c r="Q115" s="7">
        <v>153</v>
      </c>
      <c r="R115" s="7">
        <f t="shared" si="15"/>
        <v>26333.74</v>
      </c>
      <c r="S115" s="12">
        <v>27669.48</v>
      </c>
      <c r="T115" s="12">
        <v>27674.82</v>
      </c>
      <c r="U115" s="7">
        <v>20200</v>
      </c>
      <c r="V115" s="7">
        <f t="shared" si="16"/>
        <v>7474.82</v>
      </c>
      <c r="W115" s="7">
        <f>2229.56+881.5</f>
        <v>3111.06</v>
      </c>
      <c r="X115" s="7">
        <v>3761.84</v>
      </c>
      <c r="Y115" s="7"/>
      <c r="Z115" s="12">
        <v>1147.4</v>
      </c>
      <c r="AA115" s="7">
        <f t="shared" si="17"/>
        <v>27121.9</v>
      </c>
    </row>
    <row r="116" spans="1:27" s="10" customFormat="1" ht="12.75">
      <c r="A116" s="7">
        <f t="shared" si="18"/>
        <v>31</v>
      </c>
      <c r="B116" s="7" t="s">
        <v>21</v>
      </c>
      <c r="C116" s="7">
        <v>18528.34</v>
      </c>
      <c r="D116" s="7">
        <v>3536.68</v>
      </c>
      <c r="E116" s="7">
        <v>16976.68</v>
      </c>
      <c r="F116" s="7">
        <v>3132.29</v>
      </c>
      <c r="G116" s="7">
        <v>0</v>
      </c>
      <c r="H116" s="7">
        <f t="shared" si="13"/>
        <v>20108.97</v>
      </c>
      <c r="I116" s="12">
        <v>19328.4</v>
      </c>
      <c r="J116" s="12">
        <v>3535.2</v>
      </c>
      <c r="K116" s="12">
        <v>18947.94</v>
      </c>
      <c r="L116" s="12">
        <v>6099.64</v>
      </c>
      <c r="M116" s="7"/>
      <c r="N116" s="7">
        <f t="shared" si="14"/>
        <v>25047.579999999998</v>
      </c>
      <c r="O116" s="7">
        <v>26781.4</v>
      </c>
      <c r="P116" s="7">
        <v>23073.1</v>
      </c>
      <c r="Q116" s="7">
        <v>6487</v>
      </c>
      <c r="R116" s="7">
        <f t="shared" si="15"/>
        <v>16586.1</v>
      </c>
      <c r="S116" s="12">
        <v>27741</v>
      </c>
      <c r="T116" s="12">
        <v>31337.57</v>
      </c>
      <c r="U116" s="7">
        <v>75748</v>
      </c>
      <c r="V116" s="7">
        <f t="shared" si="16"/>
        <v>-44410.43</v>
      </c>
      <c r="W116" s="7">
        <f>4296.01+2597.21</f>
        <v>6893.22</v>
      </c>
      <c r="X116" s="7">
        <v>5768.42</v>
      </c>
      <c r="Y116" s="7"/>
      <c r="Z116" s="12">
        <v>2427.6</v>
      </c>
      <c r="AA116" s="7">
        <f t="shared" si="17"/>
        <v>7098.18</v>
      </c>
    </row>
    <row r="117" spans="1:27" s="10" customFormat="1" ht="12.75">
      <c r="A117" s="7">
        <f t="shared" si="18"/>
        <v>32</v>
      </c>
      <c r="B117" s="7" t="s">
        <v>22</v>
      </c>
      <c r="C117" s="7">
        <v>18076.84</v>
      </c>
      <c r="D117" s="7">
        <v>2986.52</v>
      </c>
      <c r="E117" s="7">
        <v>19264.31</v>
      </c>
      <c r="F117" s="7">
        <v>2131.6</v>
      </c>
      <c r="G117" s="7">
        <v>0</v>
      </c>
      <c r="H117" s="7">
        <f t="shared" si="13"/>
        <v>21395.91</v>
      </c>
      <c r="I117" s="12">
        <v>18810</v>
      </c>
      <c r="J117" s="12">
        <v>3276</v>
      </c>
      <c r="K117" s="12">
        <v>18234.56</v>
      </c>
      <c r="L117" s="12">
        <v>3645.71</v>
      </c>
      <c r="M117" s="7"/>
      <c r="N117" s="7">
        <f t="shared" si="14"/>
        <v>21880.27</v>
      </c>
      <c r="O117" s="7">
        <v>26167.98</v>
      </c>
      <c r="P117" s="7">
        <v>37368.06</v>
      </c>
      <c r="Q117" s="7">
        <v>0</v>
      </c>
      <c r="R117" s="7">
        <f t="shared" si="15"/>
        <v>37368.06</v>
      </c>
      <c r="S117" s="12">
        <v>26797.8</v>
      </c>
      <c r="T117" s="12">
        <v>26049.27</v>
      </c>
      <c r="U117" s="7">
        <v>67528</v>
      </c>
      <c r="V117" s="7">
        <f t="shared" si="16"/>
        <v>-41478.729999999996</v>
      </c>
      <c r="W117" s="7">
        <f>1986.61+1414.7</f>
        <v>3401.31</v>
      </c>
      <c r="X117" s="7">
        <v>4082.8</v>
      </c>
      <c r="Y117" s="7"/>
      <c r="Z117" s="12">
        <v>1025.17</v>
      </c>
      <c r="AA117" s="7">
        <f t="shared" si="17"/>
        <v>32706.57</v>
      </c>
    </row>
    <row r="118" spans="1:27" s="10" customFormat="1" ht="12.75">
      <c r="A118" s="7">
        <f t="shared" si="18"/>
        <v>33</v>
      </c>
      <c r="B118" s="7" t="s">
        <v>23</v>
      </c>
      <c r="C118" s="7">
        <v>16365.18</v>
      </c>
      <c r="D118" s="7">
        <v>5434.32</v>
      </c>
      <c r="E118" s="7">
        <v>14552.84</v>
      </c>
      <c r="F118" s="7">
        <v>3931.56</v>
      </c>
      <c r="G118" s="7">
        <v>0</v>
      </c>
      <c r="H118" s="7">
        <f t="shared" si="13"/>
        <v>18484.4</v>
      </c>
      <c r="I118" s="12">
        <v>16929.12</v>
      </c>
      <c r="J118" s="12">
        <v>5621.4</v>
      </c>
      <c r="K118" s="12">
        <v>16178.39</v>
      </c>
      <c r="L118" s="12">
        <v>5995.19</v>
      </c>
      <c r="M118" s="7"/>
      <c r="N118" s="7">
        <f t="shared" si="14"/>
        <v>22173.579999999998</v>
      </c>
      <c r="O118" s="7">
        <v>26459.04</v>
      </c>
      <c r="P118" s="7">
        <v>22335.99</v>
      </c>
      <c r="Q118" s="7">
        <v>60413</v>
      </c>
      <c r="R118" s="7">
        <f t="shared" si="15"/>
        <v>-38077.009999999995</v>
      </c>
      <c r="S118" s="12">
        <v>27361.2</v>
      </c>
      <c r="T118" s="12">
        <v>28980.77</v>
      </c>
      <c r="U118" s="7">
        <v>46994</v>
      </c>
      <c r="V118" s="7">
        <f t="shared" si="16"/>
        <v>-18013.23</v>
      </c>
      <c r="W118" s="7">
        <f>782.6+1814.61</f>
        <v>2597.21</v>
      </c>
      <c r="X118" s="7">
        <v>1640.2</v>
      </c>
      <c r="Y118" s="7"/>
      <c r="Z118" s="12">
        <v>467.33</v>
      </c>
      <c r="AA118" s="7">
        <f t="shared" si="17"/>
        <v>-19202.339999999997</v>
      </c>
    </row>
    <row r="119" spans="1:27" s="10" customFormat="1" ht="12.75">
      <c r="A119" s="7">
        <f t="shared" si="18"/>
        <v>34</v>
      </c>
      <c r="B119" s="7" t="s">
        <v>24</v>
      </c>
      <c r="C119" s="7">
        <v>11272.08</v>
      </c>
      <c r="D119" s="7">
        <v>1031.76</v>
      </c>
      <c r="E119" s="7">
        <v>9652.98</v>
      </c>
      <c r="F119" s="7">
        <v>1031.76</v>
      </c>
      <c r="G119" s="7">
        <v>0</v>
      </c>
      <c r="H119" s="7">
        <f t="shared" si="13"/>
        <v>10684.74</v>
      </c>
      <c r="I119" s="12">
        <v>11655.3</v>
      </c>
      <c r="J119" s="7"/>
      <c r="K119" s="12">
        <v>11489.75</v>
      </c>
      <c r="L119" s="7"/>
      <c r="M119" s="7"/>
      <c r="N119" s="7">
        <f t="shared" si="14"/>
        <v>11489.75</v>
      </c>
      <c r="O119" s="7">
        <v>14934</v>
      </c>
      <c r="P119" s="7">
        <v>13455.61</v>
      </c>
      <c r="Q119" s="7">
        <v>0</v>
      </c>
      <c r="R119" s="7">
        <f t="shared" si="15"/>
        <v>13455.61</v>
      </c>
      <c r="S119" s="12">
        <v>15436.86</v>
      </c>
      <c r="T119" s="12">
        <v>15469.96</v>
      </c>
      <c r="U119" s="7">
        <v>42141</v>
      </c>
      <c r="V119" s="7">
        <f t="shared" si="16"/>
        <v>-26671.04</v>
      </c>
      <c r="W119" s="7">
        <f>1118+1747.96</f>
        <v>2865.96</v>
      </c>
      <c r="X119" s="7">
        <v>2685.68</v>
      </c>
      <c r="Y119" s="7"/>
      <c r="Z119" s="12">
        <v>1261.41</v>
      </c>
      <c r="AA119" s="7">
        <f t="shared" si="17"/>
        <v>4668.829999999998</v>
      </c>
    </row>
    <row r="120" spans="1:27" s="10" customFormat="1" ht="12.75">
      <c r="A120" s="7">
        <f t="shared" si="18"/>
        <v>35</v>
      </c>
      <c r="B120" s="7" t="s">
        <v>189</v>
      </c>
      <c r="C120" s="7">
        <v>0</v>
      </c>
      <c r="D120" s="7">
        <v>3765.36</v>
      </c>
      <c r="E120" s="7">
        <v>0</v>
      </c>
      <c r="F120" s="7">
        <v>3008.08</v>
      </c>
      <c r="G120" s="7">
        <v>0</v>
      </c>
      <c r="H120" s="7">
        <f t="shared" si="13"/>
        <v>3008.08</v>
      </c>
      <c r="I120" s="12">
        <v>280.5</v>
      </c>
      <c r="J120" s="12">
        <v>3393.6</v>
      </c>
      <c r="K120" s="12">
        <v>280.5</v>
      </c>
      <c r="L120" s="12">
        <v>2203.43</v>
      </c>
      <c r="M120" s="7"/>
      <c r="N120" s="7">
        <f t="shared" si="14"/>
        <v>2483.93</v>
      </c>
      <c r="O120" s="7">
        <v>1220.52</v>
      </c>
      <c r="P120" s="7">
        <v>988.83</v>
      </c>
      <c r="Q120" s="7">
        <v>2467</v>
      </c>
      <c r="R120" s="7">
        <f t="shared" si="15"/>
        <v>-1478.17</v>
      </c>
      <c r="S120" s="12">
        <v>1200.21</v>
      </c>
      <c r="T120" s="12">
        <v>719.65</v>
      </c>
      <c r="U120" s="7">
        <v>6604</v>
      </c>
      <c r="V120" s="7">
        <f t="shared" si="16"/>
        <v>-5884.35</v>
      </c>
      <c r="W120" s="7">
        <f>21987.06+28959.08</f>
        <v>50946.14</v>
      </c>
      <c r="X120" s="7">
        <f>31927.61+20922.07+6164.42+5016.02</f>
        <v>64030.119999999995</v>
      </c>
      <c r="Y120" s="7">
        <v>34966.57</v>
      </c>
      <c r="Z120" s="12">
        <v>187.02</v>
      </c>
      <c r="AA120" s="7">
        <f t="shared" si="17"/>
        <v>-81693.17999999998</v>
      </c>
    </row>
    <row r="121" spans="1:27" s="10" customFormat="1" ht="12.75">
      <c r="A121" s="7">
        <f t="shared" si="18"/>
        <v>36</v>
      </c>
      <c r="B121" s="7" t="s">
        <v>190</v>
      </c>
      <c r="C121" s="7"/>
      <c r="D121" s="7"/>
      <c r="E121" s="7"/>
      <c r="F121" s="7"/>
      <c r="G121" s="7">
        <v>0</v>
      </c>
      <c r="H121" s="7">
        <f t="shared" si="13"/>
        <v>0</v>
      </c>
      <c r="I121" s="7"/>
      <c r="J121" s="7"/>
      <c r="K121" s="7"/>
      <c r="L121" s="7"/>
      <c r="M121" s="7"/>
      <c r="N121" s="7">
        <f t="shared" si="14"/>
        <v>0</v>
      </c>
      <c r="O121" s="7">
        <v>4996.08</v>
      </c>
      <c r="P121" s="7">
        <v>2352.03</v>
      </c>
      <c r="Q121" s="7">
        <v>0</v>
      </c>
      <c r="R121" s="7">
        <f t="shared" si="15"/>
        <v>2352.03</v>
      </c>
      <c r="S121" s="7"/>
      <c r="T121" s="7"/>
      <c r="U121" s="7">
        <v>0</v>
      </c>
      <c r="V121" s="7">
        <f t="shared" si="16"/>
        <v>0</v>
      </c>
      <c r="W121" s="7">
        <v>2089.81</v>
      </c>
      <c r="X121" s="7">
        <v>2336.4</v>
      </c>
      <c r="Y121" s="7"/>
      <c r="Z121" s="7"/>
      <c r="AA121" s="7">
        <f t="shared" si="17"/>
        <v>-2074.18</v>
      </c>
    </row>
    <row r="122" spans="1:27" s="10" customFormat="1" ht="12.75">
      <c r="A122" s="7">
        <f t="shared" si="18"/>
        <v>37</v>
      </c>
      <c r="B122" s="7" t="s">
        <v>191</v>
      </c>
      <c r="C122" s="7">
        <v>359.16</v>
      </c>
      <c r="D122" s="7">
        <v>400.92</v>
      </c>
      <c r="E122" s="7">
        <v>359.16</v>
      </c>
      <c r="F122" s="7">
        <v>400.92</v>
      </c>
      <c r="G122" s="7">
        <v>0</v>
      </c>
      <c r="H122" s="7">
        <f t="shared" si="13"/>
        <v>760.08</v>
      </c>
      <c r="I122" s="12">
        <v>154.8</v>
      </c>
      <c r="J122" s="12">
        <v>172.8</v>
      </c>
      <c r="K122" s="12">
        <v>154.8</v>
      </c>
      <c r="L122" s="12">
        <v>172.8</v>
      </c>
      <c r="M122" s="7"/>
      <c r="N122" s="7">
        <f t="shared" si="14"/>
        <v>327.6</v>
      </c>
      <c r="O122" s="7">
        <v>1094.28</v>
      </c>
      <c r="P122" s="7">
        <v>1094.28</v>
      </c>
      <c r="Q122" s="7">
        <v>0</v>
      </c>
      <c r="R122" s="7">
        <f t="shared" si="15"/>
        <v>1094.28</v>
      </c>
      <c r="S122" s="12">
        <v>472.25</v>
      </c>
      <c r="T122" s="12">
        <v>472.25</v>
      </c>
      <c r="U122" s="7">
        <v>0</v>
      </c>
      <c r="V122" s="7">
        <f t="shared" si="16"/>
        <v>472.25</v>
      </c>
      <c r="W122" s="7"/>
      <c r="X122" s="7"/>
      <c r="Y122" s="7"/>
      <c r="Z122" s="7"/>
      <c r="AA122" s="7">
        <f t="shared" si="17"/>
        <v>2654.21</v>
      </c>
    </row>
    <row r="123" spans="1:27" s="10" customFormat="1" ht="12.75">
      <c r="A123" s="7">
        <f t="shared" si="18"/>
        <v>38</v>
      </c>
      <c r="B123" s="7" t="s">
        <v>192</v>
      </c>
      <c r="C123" s="7">
        <v>4351.2</v>
      </c>
      <c r="D123" s="7">
        <v>3692.4</v>
      </c>
      <c r="E123" s="7">
        <v>4228.72</v>
      </c>
      <c r="F123" s="7">
        <v>3412.29</v>
      </c>
      <c r="G123" s="7">
        <v>0</v>
      </c>
      <c r="H123" s="7">
        <f t="shared" si="13"/>
        <v>7641.01</v>
      </c>
      <c r="I123" s="12">
        <v>5321.76</v>
      </c>
      <c r="J123" s="12">
        <v>3012.75</v>
      </c>
      <c r="K123" s="12">
        <v>5435.57</v>
      </c>
      <c r="L123" s="12">
        <v>2117.04</v>
      </c>
      <c r="M123" s="7"/>
      <c r="N123" s="7">
        <f t="shared" si="14"/>
        <v>7552.61</v>
      </c>
      <c r="O123" s="7">
        <v>10516.8</v>
      </c>
      <c r="P123" s="7">
        <v>10055.27</v>
      </c>
      <c r="Q123" s="7">
        <v>0</v>
      </c>
      <c r="R123" s="7">
        <f t="shared" si="15"/>
        <v>10055.27</v>
      </c>
      <c r="S123" s="12">
        <v>10911.11</v>
      </c>
      <c r="T123" s="12">
        <v>10041.94</v>
      </c>
      <c r="U123" s="7">
        <v>0</v>
      </c>
      <c r="V123" s="7">
        <f t="shared" si="16"/>
        <v>10041.94</v>
      </c>
      <c r="W123" s="7">
        <v>6269.42</v>
      </c>
      <c r="X123" s="7">
        <v>7009.2</v>
      </c>
      <c r="Y123" s="7"/>
      <c r="Z123" s="12">
        <v>1839.04</v>
      </c>
      <c r="AA123" s="7">
        <f t="shared" si="17"/>
        <v>23851.250000000004</v>
      </c>
    </row>
    <row r="124" spans="1:27" s="10" customFormat="1" ht="12.75">
      <c r="A124" s="7">
        <f t="shared" si="18"/>
        <v>39</v>
      </c>
      <c r="B124" s="7" t="s">
        <v>25</v>
      </c>
      <c r="C124" s="7">
        <v>765.6</v>
      </c>
      <c r="D124" s="7">
        <v>530.4</v>
      </c>
      <c r="E124" s="7">
        <v>804.46</v>
      </c>
      <c r="F124" s="7">
        <v>574.6</v>
      </c>
      <c r="G124" s="7">
        <v>0</v>
      </c>
      <c r="H124" s="7">
        <f t="shared" si="13"/>
        <v>1379.06</v>
      </c>
      <c r="I124" s="12">
        <v>330</v>
      </c>
      <c r="J124" s="12">
        <v>228.6</v>
      </c>
      <c r="K124" s="12">
        <v>250.94</v>
      </c>
      <c r="L124" s="12">
        <v>184.4</v>
      </c>
      <c r="M124" s="7"/>
      <c r="N124" s="7">
        <f t="shared" si="14"/>
        <v>435.34000000000003</v>
      </c>
      <c r="O124" s="7">
        <v>1865.88</v>
      </c>
      <c r="P124" s="7">
        <v>1985.46</v>
      </c>
      <c r="Q124" s="7">
        <v>0</v>
      </c>
      <c r="R124" s="7">
        <f t="shared" si="15"/>
        <v>1985.46</v>
      </c>
      <c r="S124" s="12">
        <v>805.35</v>
      </c>
      <c r="T124" s="12">
        <v>627.81</v>
      </c>
      <c r="U124" s="7">
        <v>2082</v>
      </c>
      <c r="V124" s="7">
        <f t="shared" si="16"/>
        <v>-1454.19</v>
      </c>
      <c r="W124" s="7">
        <v>1044.9</v>
      </c>
      <c r="X124" s="7">
        <v>620</v>
      </c>
      <c r="Y124" s="7"/>
      <c r="Z124" s="7"/>
      <c r="AA124" s="7">
        <f t="shared" si="17"/>
        <v>680.77</v>
      </c>
    </row>
    <row r="125" spans="1:27" s="10" customFormat="1" ht="12.75">
      <c r="A125" s="7">
        <f t="shared" si="18"/>
        <v>40</v>
      </c>
      <c r="B125" s="7" t="s">
        <v>197</v>
      </c>
      <c r="C125" s="7"/>
      <c r="D125" s="7"/>
      <c r="E125" s="7"/>
      <c r="F125" s="7"/>
      <c r="G125" s="7">
        <v>0</v>
      </c>
      <c r="H125" s="7">
        <f t="shared" si="13"/>
        <v>0</v>
      </c>
      <c r="I125" s="7"/>
      <c r="J125" s="12" t="s">
        <v>201</v>
      </c>
      <c r="K125" s="7"/>
      <c r="L125" s="12" t="s">
        <v>201</v>
      </c>
      <c r="M125" s="7"/>
      <c r="N125" s="7">
        <v>-16396</v>
      </c>
      <c r="O125" s="7">
        <v>4406.76</v>
      </c>
      <c r="P125" s="7">
        <v>4423.22</v>
      </c>
      <c r="Q125" s="7">
        <v>0</v>
      </c>
      <c r="R125" s="7">
        <f t="shared" si="15"/>
        <v>4423.22</v>
      </c>
      <c r="S125" s="12">
        <v>1899.37</v>
      </c>
      <c r="T125" s="12">
        <v>2177.36</v>
      </c>
      <c r="U125" s="7">
        <v>16396</v>
      </c>
      <c r="V125" s="7">
        <f t="shared" si="16"/>
        <v>-14218.64</v>
      </c>
      <c r="W125" s="7">
        <v>1044.9</v>
      </c>
      <c r="X125" s="7">
        <v>619</v>
      </c>
      <c r="Y125" s="7"/>
      <c r="Z125" s="7"/>
      <c r="AA125" s="7">
        <f t="shared" si="17"/>
        <v>-27855.32</v>
      </c>
    </row>
    <row r="126" spans="1:27" s="10" customFormat="1" ht="12.75">
      <c r="A126" s="7">
        <f t="shared" si="18"/>
        <v>41</v>
      </c>
      <c r="B126" s="7" t="s">
        <v>193</v>
      </c>
      <c r="C126" s="7">
        <v>37469.32</v>
      </c>
      <c r="D126" s="7">
        <v>9668.91</v>
      </c>
      <c r="E126" s="7">
        <v>35837.46</v>
      </c>
      <c r="F126" s="7">
        <v>8805.72</v>
      </c>
      <c r="G126" s="7">
        <v>0</v>
      </c>
      <c r="H126" s="7">
        <f t="shared" si="13"/>
        <v>44643.18</v>
      </c>
      <c r="I126" s="12">
        <v>39124.8</v>
      </c>
      <c r="J126" s="12">
        <v>9651.6</v>
      </c>
      <c r="K126" s="12">
        <v>36975.11</v>
      </c>
      <c r="L126" s="12">
        <v>8392.85</v>
      </c>
      <c r="M126" s="7"/>
      <c r="N126" s="7">
        <f t="shared" si="14"/>
        <v>45367.96</v>
      </c>
      <c r="O126" s="7">
        <v>57213.24</v>
      </c>
      <c r="P126" s="7">
        <v>53302.59</v>
      </c>
      <c r="Q126" s="7">
        <v>987</v>
      </c>
      <c r="R126" s="7">
        <f t="shared" si="15"/>
        <v>52315.59</v>
      </c>
      <c r="S126" s="12">
        <v>59181.9</v>
      </c>
      <c r="T126" s="12">
        <v>55355.48</v>
      </c>
      <c r="U126" s="7">
        <v>57955</v>
      </c>
      <c r="V126" s="7">
        <f t="shared" si="16"/>
        <v>-2599.519999999997</v>
      </c>
      <c r="W126" s="7">
        <f>11296.14+3311.01</f>
        <v>14607.15</v>
      </c>
      <c r="X126" s="7">
        <v>12014.76</v>
      </c>
      <c r="Y126" s="7"/>
      <c r="Z126" s="12">
        <v>800.52</v>
      </c>
      <c r="AA126" s="7">
        <f t="shared" si="17"/>
        <v>113905.82</v>
      </c>
    </row>
    <row r="127" spans="1:27" s="10" customFormat="1" ht="12.75">
      <c r="A127" s="7">
        <f t="shared" si="18"/>
        <v>42</v>
      </c>
      <c r="B127" s="7" t="s">
        <v>194</v>
      </c>
      <c r="C127" s="7">
        <v>85265.12</v>
      </c>
      <c r="D127" s="7">
        <v>11198.8</v>
      </c>
      <c r="E127" s="7">
        <v>82850.97</v>
      </c>
      <c r="F127" s="7">
        <v>10554.77</v>
      </c>
      <c r="G127" s="7">
        <v>232005</v>
      </c>
      <c r="H127" s="7">
        <f t="shared" si="13"/>
        <v>-138599.26</v>
      </c>
      <c r="I127" s="12">
        <v>90742.98</v>
      </c>
      <c r="J127" s="12">
        <v>9070.71</v>
      </c>
      <c r="K127" s="12">
        <v>77542.18</v>
      </c>
      <c r="L127" s="12">
        <v>8878.39</v>
      </c>
      <c r="M127" s="7"/>
      <c r="N127" s="7">
        <f t="shared" si="14"/>
        <v>86420.56999999999</v>
      </c>
      <c r="O127" s="7">
        <v>117082.72</v>
      </c>
      <c r="P127" s="7">
        <v>112879.44</v>
      </c>
      <c r="Q127" s="7">
        <v>4173</v>
      </c>
      <c r="R127" s="7">
        <f t="shared" si="15"/>
        <v>108706.44</v>
      </c>
      <c r="S127" s="12">
        <v>121107.34</v>
      </c>
      <c r="T127" s="12">
        <v>118704.26</v>
      </c>
      <c r="U127" s="7">
        <v>23561</v>
      </c>
      <c r="V127" s="7">
        <f t="shared" si="16"/>
        <v>95143.26</v>
      </c>
      <c r="W127" s="7">
        <f>11410+1786.75</f>
        <v>13196.75</v>
      </c>
      <c r="X127" s="7">
        <v>15408.44</v>
      </c>
      <c r="Y127" s="7"/>
      <c r="Z127" s="12">
        <v>6921.77</v>
      </c>
      <c r="AA127" s="7">
        <f t="shared" si="17"/>
        <v>129987.58999999998</v>
      </c>
    </row>
    <row r="128" spans="1:27" s="10" customFormat="1" ht="12.75">
      <c r="A128" s="7">
        <f t="shared" si="18"/>
        <v>43</v>
      </c>
      <c r="B128" s="7" t="s">
        <v>195</v>
      </c>
      <c r="C128" s="7">
        <v>86049.8</v>
      </c>
      <c r="D128" s="7">
        <v>14653.63</v>
      </c>
      <c r="E128" s="7">
        <v>79761</v>
      </c>
      <c r="F128" s="7">
        <v>12388.96</v>
      </c>
      <c r="G128" s="7">
        <v>0</v>
      </c>
      <c r="H128" s="7">
        <f t="shared" si="13"/>
        <v>92149.95999999999</v>
      </c>
      <c r="I128" s="12">
        <v>88626.84</v>
      </c>
      <c r="J128" s="12">
        <v>12487.38</v>
      </c>
      <c r="K128" s="12">
        <v>88537.03</v>
      </c>
      <c r="L128" s="12">
        <v>15254.19</v>
      </c>
      <c r="M128" s="7"/>
      <c r="N128" s="7">
        <f t="shared" si="14"/>
        <v>103791.22</v>
      </c>
      <c r="O128" s="7">
        <v>118997.7</v>
      </c>
      <c r="P128" s="7">
        <v>114832.31</v>
      </c>
      <c r="Q128" s="7">
        <v>2918</v>
      </c>
      <c r="R128" s="7">
        <f t="shared" si="15"/>
        <v>111914.31</v>
      </c>
      <c r="S128" s="12">
        <v>123065.42</v>
      </c>
      <c r="T128" s="12">
        <v>125959.34</v>
      </c>
      <c r="U128" s="7">
        <v>20601</v>
      </c>
      <c r="V128" s="7">
        <f t="shared" si="16"/>
        <v>105358.34</v>
      </c>
      <c r="W128" s="7">
        <f>4869.77+1395.36</f>
        <v>6265.13</v>
      </c>
      <c r="X128" s="7">
        <v>4425</v>
      </c>
      <c r="Y128" s="7"/>
      <c r="Z128" s="12">
        <v>2031.74</v>
      </c>
      <c r="AA128" s="7">
        <f t="shared" si="17"/>
        <v>404555.43999999994</v>
      </c>
    </row>
    <row r="129" spans="1:27" s="10" customFormat="1" ht="25.5">
      <c r="A129" s="7">
        <f t="shared" si="18"/>
        <v>44</v>
      </c>
      <c r="B129" s="7" t="s">
        <v>196</v>
      </c>
      <c r="C129" s="7">
        <v>1050.45</v>
      </c>
      <c r="D129" s="7">
        <v>1602.75</v>
      </c>
      <c r="E129" s="7">
        <v>993.84</v>
      </c>
      <c r="F129" s="7">
        <v>622.71</v>
      </c>
      <c r="G129" s="7">
        <v>0</v>
      </c>
      <c r="H129" s="7">
        <f t="shared" si="13"/>
        <v>1616.5500000000002</v>
      </c>
      <c r="I129" s="12">
        <v>721.2</v>
      </c>
      <c r="J129" s="12">
        <v>422.4</v>
      </c>
      <c r="K129" s="12">
        <v>777.81</v>
      </c>
      <c r="L129" s="12" t="s">
        <v>201</v>
      </c>
      <c r="M129" s="7"/>
      <c r="N129" s="7">
        <v>777.81</v>
      </c>
      <c r="O129" s="7">
        <v>3819.72</v>
      </c>
      <c r="P129" s="7">
        <v>2408.88</v>
      </c>
      <c r="Q129" s="7">
        <v>0</v>
      </c>
      <c r="R129" s="7">
        <f t="shared" si="15"/>
        <v>2408.88</v>
      </c>
      <c r="S129" s="12">
        <v>1648.65</v>
      </c>
      <c r="T129" s="12">
        <v>1039.7</v>
      </c>
      <c r="U129" s="7">
        <v>0</v>
      </c>
      <c r="V129" s="7">
        <f t="shared" si="16"/>
        <v>1039.7</v>
      </c>
      <c r="W129" s="7"/>
      <c r="X129" s="7"/>
      <c r="Y129" s="7"/>
      <c r="Z129" s="7"/>
      <c r="AA129" s="7">
        <f t="shared" si="17"/>
        <v>5842.94</v>
      </c>
    </row>
    <row r="130" spans="1:27" s="10" customFormat="1" ht="12.75">
      <c r="A130" s="7">
        <f t="shared" si="18"/>
        <v>45</v>
      </c>
      <c r="B130" s="7" t="s">
        <v>26</v>
      </c>
      <c r="C130" s="7">
        <v>9962.44</v>
      </c>
      <c r="D130" s="7">
        <v>2927.84</v>
      </c>
      <c r="E130" s="7">
        <v>9280.1</v>
      </c>
      <c r="F130" s="7">
        <v>2752.69</v>
      </c>
      <c r="G130" s="7">
        <v>0</v>
      </c>
      <c r="H130" s="7">
        <f t="shared" si="13"/>
        <v>12032.79</v>
      </c>
      <c r="I130" s="12">
        <v>10929.6</v>
      </c>
      <c r="J130" s="12">
        <v>2404.8</v>
      </c>
      <c r="K130" s="12">
        <v>11422.05</v>
      </c>
      <c r="L130" s="12">
        <v>2467.5</v>
      </c>
      <c r="M130" s="7"/>
      <c r="N130" s="7">
        <f t="shared" si="14"/>
        <v>13889.55</v>
      </c>
      <c r="O130" s="7">
        <v>15645.72</v>
      </c>
      <c r="P130" s="7">
        <v>13846.49</v>
      </c>
      <c r="Q130" s="7">
        <v>0</v>
      </c>
      <c r="R130" s="7">
        <f t="shared" si="15"/>
        <v>13846.49</v>
      </c>
      <c r="S130" s="12">
        <v>16179.12</v>
      </c>
      <c r="T130" s="12">
        <v>16237.41</v>
      </c>
      <c r="U130" s="7">
        <v>6952</v>
      </c>
      <c r="V130" s="7">
        <f t="shared" si="16"/>
        <v>9285.41</v>
      </c>
      <c r="W130" s="7">
        <v>2274.71</v>
      </c>
      <c r="X130" s="7">
        <v>5317.08</v>
      </c>
      <c r="Y130" s="7"/>
      <c r="Z130" s="12">
        <v>1667.03</v>
      </c>
      <c r="AA130" s="7">
        <f t="shared" si="17"/>
        <v>43129.48</v>
      </c>
    </row>
    <row r="131" spans="1:27" s="10" customFormat="1" ht="12.75">
      <c r="A131" s="7">
        <f t="shared" si="18"/>
        <v>46</v>
      </c>
      <c r="B131" s="7" t="s">
        <v>27</v>
      </c>
      <c r="C131" s="7">
        <v>10920.6</v>
      </c>
      <c r="D131" s="7">
        <v>1639.08</v>
      </c>
      <c r="E131" s="7">
        <v>9966.91</v>
      </c>
      <c r="F131" s="7">
        <v>1327.5</v>
      </c>
      <c r="G131" s="7">
        <v>0</v>
      </c>
      <c r="H131" s="7">
        <f t="shared" si="13"/>
        <v>11294.41</v>
      </c>
      <c r="I131" s="12">
        <v>11312.1</v>
      </c>
      <c r="J131" s="12">
        <v>1695.6</v>
      </c>
      <c r="K131" s="12">
        <v>12129.72</v>
      </c>
      <c r="L131" s="12">
        <v>2141.02</v>
      </c>
      <c r="M131" s="7"/>
      <c r="N131" s="7">
        <f t="shared" si="14"/>
        <v>14270.74</v>
      </c>
      <c r="O131" s="7">
        <v>15244.44</v>
      </c>
      <c r="P131" s="7">
        <v>12795.55</v>
      </c>
      <c r="Q131" s="7">
        <v>0</v>
      </c>
      <c r="R131" s="7">
        <f t="shared" si="15"/>
        <v>12795.55</v>
      </c>
      <c r="S131" s="12">
        <v>15782.74</v>
      </c>
      <c r="T131" s="12">
        <v>17478.36</v>
      </c>
      <c r="U131" s="7">
        <v>5626</v>
      </c>
      <c r="V131" s="7">
        <f t="shared" si="16"/>
        <v>11852.36</v>
      </c>
      <c r="W131" s="7">
        <f>3575.46+3629.21</f>
        <v>7204.67</v>
      </c>
      <c r="X131" s="7">
        <v>7344.32</v>
      </c>
      <c r="Y131" s="7"/>
      <c r="Z131" s="12">
        <v>2371.26</v>
      </c>
      <c r="AA131" s="7">
        <f t="shared" si="17"/>
        <v>38035.33</v>
      </c>
    </row>
    <row r="132" spans="1:27" s="10" customFormat="1" ht="12.75">
      <c r="A132" s="7">
        <f t="shared" si="18"/>
        <v>47</v>
      </c>
      <c r="B132" s="7" t="s">
        <v>28</v>
      </c>
      <c r="C132" s="7">
        <v>9010.75</v>
      </c>
      <c r="D132" s="7">
        <v>1945.9</v>
      </c>
      <c r="E132" s="7">
        <v>8770.39</v>
      </c>
      <c r="F132" s="7">
        <v>1939.94</v>
      </c>
      <c r="G132" s="7">
        <v>0</v>
      </c>
      <c r="H132" s="7">
        <f t="shared" si="13"/>
        <v>10710.33</v>
      </c>
      <c r="I132" s="12">
        <v>10521</v>
      </c>
      <c r="J132" s="12">
        <v>792</v>
      </c>
      <c r="K132" s="12">
        <v>9996.71</v>
      </c>
      <c r="L132" s="12">
        <v>792</v>
      </c>
      <c r="M132" s="7">
        <v>21400</v>
      </c>
      <c r="N132" s="7">
        <f t="shared" si="14"/>
        <v>-10611.29</v>
      </c>
      <c r="O132" s="7">
        <v>13298.8</v>
      </c>
      <c r="P132" s="7">
        <v>13058.59</v>
      </c>
      <c r="Q132" s="7">
        <v>27288</v>
      </c>
      <c r="R132" s="7">
        <f t="shared" si="15"/>
        <v>-14229.41</v>
      </c>
      <c r="S132" s="12">
        <v>13726.44</v>
      </c>
      <c r="T132" s="12">
        <v>12961.22</v>
      </c>
      <c r="U132" s="7">
        <v>0</v>
      </c>
      <c r="V132" s="7">
        <f t="shared" si="16"/>
        <v>12961.22</v>
      </c>
      <c r="W132" s="7">
        <v>4179.61</v>
      </c>
      <c r="X132" s="7">
        <v>3431.44</v>
      </c>
      <c r="Y132" s="7"/>
      <c r="Z132" s="12">
        <v>486.68</v>
      </c>
      <c r="AA132" s="7">
        <f t="shared" si="17"/>
        <v>-8293.52</v>
      </c>
    </row>
    <row r="133" spans="1:27" s="10" customFormat="1" ht="12.75">
      <c r="A133" s="7">
        <f t="shared" si="18"/>
        <v>48</v>
      </c>
      <c r="B133" s="7" t="s">
        <v>29</v>
      </c>
      <c r="C133" s="7">
        <v>64655.93</v>
      </c>
      <c r="D133" s="7">
        <v>14928.91</v>
      </c>
      <c r="E133" s="7">
        <v>63995.25</v>
      </c>
      <c r="F133" s="7">
        <v>13948.22</v>
      </c>
      <c r="G133" s="7">
        <v>0</v>
      </c>
      <c r="H133" s="7">
        <f t="shared" si="13"/>
        <v>77943.47</v>
      </c>
      <c r="I133" s="12">
        <v>70064.4</v>
      </c>
      <c r="J133" s="12">
        <v>12261.3</v>
      </c>
      <c r="K133" s="12">
        <v>69198.54</v>
      </c>
      <c r="L133" s="12">
        <v>11971.17</v>
      </c>
      <c r="M133" s="7"/>
      <c r="N133" s="7">
        <f t="shared" si="14"/>
        <v>81169.70999999999</v>
      </c>
      <c r="O133" s="7">
        <v>96597.66</v>
      </c>
      <c r="P133" s="7">
        <v>93476.67</v>
      </c>
      <c r="Q133" s="7">
        <v>30685</v>
      </c>
      <c r="R133" s="7">
        <f t="shared" si="15"/>
        <v>62791.67</v>
      </c>
      <c r="S133" s="12">
        <v>99888.23</v>
      </c>
      <c r="T133" s="12">
        <v>98233.24</v>
      </c>
      <c r="U133" s="7">
        <v>58558</v>
      </c>
      <c r="V133" s="7">
        <f t="shared" si="16"/>
        <v>39675.240000000005</v>
      </c>
      <c r="W133" s="7">
        <f>23759.73+22334.27</f>
        <v>46094</v>
      </c>
      <c r="X133" s="7">
        <v>42980.32</v>
      </c>
      <c r="Y133" s="7"/>
      <c r="Z133" s="12">
        <v>13052</v>
      </c>
      <c r="AA133" s="7">
        <f t="shared" si="17"/>
        <v>185557.76999999996</v>
      </c>
    </row>
    <row r="134" spans="1:27" s="10" customFormat="1" ht="12.75">
      <c r="A134" s="7">
        <f t="shared" si="18"/>
        <v>49</v>
      </c>
      <c r="B134" s="7" t="s">
        <v>30</v>
      </c>
      <c r="C134" s="7">
        <v>10893.86</v>
      </c>
      <c r="D134" s="7">
        <v>127.9</v>
      </c>
      <c r="E134" s="7">
        <v>10672.21</v>
      </c>
      <c r="F134" s="7">
        <v>191.85</v>
      </c>
      <c r="G134" s="7">
        <v>0</v>
      </c>
      <c r="H134" s="7">
        <f t="shared" si="13"/>
        <v>10864.06</v>
      </c>
      <c r="I134" s="12">
        <v>11401.2</v>
      </c>
      <c r="J134" s="7"/>
      <c r="K134" s="12">
        <v>11498.21</v>
      </c>
      <c r="L134" s="7"/>
      <c r="M134" s="7"/>
      <c r="N134" s="7">
        <f t="shared" si="14"/>
        <v>11498.21</v>
      </c>
      <c r="O134" s="7">
        <v>13377.6</v>
      </c>
      <c r="P134" s="7">
        <v>13243.69</v>
      </c>
      <c r="Q134" s="7">
        <v>3320</v>
      </c>
      <c r="R134" s="7">
        <f t="shared" si="15"/>
        <v>9923.69</v>
      </c>
      <c r="S134" s="12">
        <v>13833.36</v>
      </c>
      <c r="T134" s="12">
        <v>13832.97</v>
      </c>
      <c r="U134" s="7">
        <v>5304</v>
      </c>
      <c r="V134" s="7">
        <f t="shared" si="16"/>
        <v>8528.97</v>
      </c>
      <c r="W134" s="7">
        <v>4179.61</v>
      </c>
      <c r="X134" s="7">
        <v>4075.72</v>
      </c>
      <c r="Y134" s="7"/>
      <c r="Z134" s="12">
        <v>1298.07</v>
      </c>
      <c r="AA134" s="7">
        <f t="shared" si="17"/>
        <v>33857.67</v>
      </c>
    </row>
    <row r="135" spans="1:27" s="10" customFormat="1" ht="12.75">
      <c r="A135" s="7">
        <f t="shared" si="18"/>
        <v>50</v>
      </c>
      <c r="B135" s="7" t="s">
        <v>31</v>
      </c>
      <c r="C135" s="7">
        <v>10760.64</v>
      </c>
      <c r="D135" s="7">
        <v>0</v>
      </c>
      <c r="E135" s="7">
        <v>10711.29</v>
      </c>
      <c r="F135" s="7">
        <v>0</v>
      </c>
      <c r="G135" s="7">
        <v>33858</v>
      </c>
      <c r="H135" s="7">
        <f t="shared" si="13"/>
        <v>-23146.71</v>
      </c>
      <c r="I135" s="12">
        <v>11131.2</v>
      </c>
      <c r="J135" s="7"/>
      <c r="K135" s="12">
        <v>11241.64</v>
      </c>
      <c r="L135" s="7"/>
      <c r="M135" s="7"/>
      <c r="N135" s="7">
        <f t="shared" si="14"/>
        <v>11241.64</v>
      </c>
      <c r="O135" s="7">
        <v>13060.68</v>
      </c>
      <c r="P135" s="7">
        <v>12769.74</v>
      </c>
      <c r="Q135" s="7">
        <v>28192</v>
      </c>
      <c r="R135" s="7">
        <f t="shared" si="15"/>
        <v>-15422.26</v>
      </c>
      <c r="S135" s="12">
        <v>13505.88</v>
      </c>
      <c r="T135" s="12">
        <v>13834.37</v>
      </c>
      <c r="U135" s="7">
        <v>301</v>
      </c>
      <c r="V135" s="7">
        <f t="shared" si="16"/>
        <v>13533.37</v>
      </c>
      <c r="W135" s="7">
        <v>4179.61</v>
      </c>
      <c r="X135" s="7">
        <v>3299.28</v>
      </c>
      <c r="Y135" s="7"/>
      <c r="Z135" s="12">
        <v>1149.38</v>
      </c>
      <c r="AA135" s="7">
        <f t="shared" si="17"/>
        <v>-20123.469999999998</v>
      </c>
    </row>
    <row r="136" spans="1:27" s="10" customFormat="1" ht="12.75">
      <c r="A136" s="7">
        <f t="shared" si="18"/>
        <v>51</v>
      </c>
      <c r="B136" s="7" t="s">
        <v>32</v>
      </c>
      <c r="C136" s="7">
        <v>10905.12</v>
      </c>
      <c r="D136" s="7">
        <v>0</v>
      </c>
      <c r="E136" s="7">
        <v>10245.83</v>
      </c>
      <c r="F136" s="7">
        <v>0</v>
      </c>
      <c r="G136" s="7">
        <v>45761</v>
      </c>
      <c r="H136" s="7">
        <f t="shared" si="13"/>
        <v>-35515.17</v>
      </c>
      <c r="I136" s="12">
        <v>11280.6</v>
      </c>
      <c r="J136" s="7"/>
      <c r="K136" s="12">
        <v>11029.46</v>
      </c>
      <c r="L136" s="7"/>
      <c r="M136" s="7"/>
      <c r="N136" s="7">
        <f t="shared" si="14"/>
        <v>11029.46</v>
      </c>
      <c r="O136" s="7">
        <v>13235.88</v>
      </c>
      <c r="P136" s="7">
        <v>11667.43</v>
      </c>
      <c r="Q136" s="7">
        <v>29177</v>
      </c>
      <c r="R136" s="7">
        <f t="shared" si="15"/>
        <v>-17509.57</v>
      </c>
      <c r="S136" s="12">
        <v>13687.2</v>
      </c>
      <c r="T136" s="12">
        <v>12928.72</v>
      </c>
      <c r="U136" s="7">
        <v>301</v>
      </c>
      <c r="V136" s="7">
        <f t="shared" si="16"/>
        <v>12627.72</v>
      </c>
      <c r="W136" s="7">
        <v>2786.41</v>
      </c>
      <c r="X136" s="7">
        <v>903.88</v>
      </c>
      <c r="Y136" s="7"/>
      <c r="Z136" s="12">
        <v>585.96</v>
      </c>
      <c r="AA136" s="7">
        <f t="shared" si="17"/>
        <v>-32471.89</v>
      </c>
    </row>
    <row r="137" spans="1:27" s="10" customFormat="1" ht="12.75">
      <c r="A137" s="7">
        <f t="shared" si="18"/>
        <v>52</v>
      </c>
      <c r="B137" s="7" t="s">
        <v>33</v>
      </c>
      <c r="C137" s="7">
        <v>14924.23</v>
      </c>
      <c r="D137" s="7">
        <v>646.03</v>
      </c>
      <c r="E137" s="7">
        <v>14824.13</v>
      </c>
      <c r="F137" s="7">
        <v>640.37</v>
      </c>
      <c r="G137" s="7">
        <v>0</v>
      </c>
      <c r="H137" s="7">
        <f t="shared" si="13"/>
        <v>15464.5</v>
      </c>
      <c r="I137" s="12">
        <v>16108.2</v>
      </c>
      <c r="J137" s="7"/>
      <c r="K137" s="12">
        <v>16106.16</v>
      </c>
      <c r="L137" s="7"/>
      <c r="M137" s="7"/>
      <c r="N137" s="7">
        <f t="shared" si="14"/>
        <v>16106.16</v>
      </c>
      <c r="O137" s="7">
        <v>18898.14</v>
      </c>
      <c r="P137" s="7">
        <v>18488.5</v>
      </c>
      <c r="Q137" s="7">
        <v>7433</v>
      </c>
      <c r="R137" s="7">
        <f t="shared" si="15"/>
        <v>11055.5</v>
      </c>
      <c r="S137" s="12">
        <v>19544.52</v>
      </c>
      <c r="T137" s="12">
        <v>19758</v>
      </c>
      <c r="U137" s="7">
        <v>6575</v>
      </c>
      <c r="V137" s="7">
        <f t="shared" si="16"/>
        <v>13183</v>
      </c>
      <c r="W137" s="7">
        <v>8359.23</v>
      </c>
      <c r="X137" s="7">
        <f>1590.64+5154.24</f>
        <v>6744.88</v>
      </c>
      <c r="Y137" s="7"/>
      <c r="Z137" s="12">
        <v>1719.35</v>
      </c>
      <c r="AA137" s="7">
        <f t="shared" si="17"/>
        <v>42424.40000000001</v>
      </c>
    </row>
    <row r="138" spans="1:27" s="10" customFormat="1" ht="12.75">
      <c r="A138" s="7">
        <f t="shared" si="18"/>
        <v>53</v>
      </c>
      <c r="B138" s="7" t="s">
        <v>198</v>
      </c>
      <c r="C138" s="7"/>
      <c r="D138" s="7"/>
      <c r="E138" s="7"/>
      <c r="F138" s="7"/>
      <c r="G138" s="7">
        <v>0</v>
      </c>
      <c r="H138" s="7">
        <f t="shared" si="13"/>
        <v>0</v>
      </c>
      <c r="I138" s="7"/>
      <c r="J138" s="7"/>
      <c r="K138" s="7"/>
      <c r="L138" s="7"/>
      <c r="M138" s="7"/>
      <c r="N138" s="7">
        <f t="shared" si="14"/>
        <v>0</v>
      </c>
      <c r="O138" s="7">
        <v>877.8</v>
      </c>
      <c r="P138" s="7">
        <v>0</v>
      </c>
      <c r="Q138" s="7">
        <v>0</v>
      </c>
      <c r="R138" s="7">
        <f t="shared" si="15"/>
        <v>0</v>
      </c>
      <c r="S138" s="12">
        <v>303.08</v>
      </c>
      <c r="T138" s="12">
        <v>1987.46</v>
      </c>
      <c r="U138" s="7">
        <v>0</v>
      </c>
      <c r="V138" s="7">
        <f t="shared" si="16"/>
        <v>1987.46</v>
      </c>
      <c r="W138" s="7"/>
      <c r="X138" s="7"/>
      <c r="Y138" s="7"/>
      <c r="Z138" s="7"/>
      <c r="AA138" s="7">
        <f t="shared" si="17"/>
        <v>1987.46</v>
      </c>
    </row>
    <row r="139" spans="1:27" s="10" customFormat="1" ht="12.75">
      <c r="A139" s="7">
        <f t="shared" si="18"/>
        <v>54</v>
      </c>
      <c r="B139" s="7" t="s">
        <v>34</v>
      </c>
      <c r="C139" s="7">
        <v>22914.36</v>
      </c>
      <c r="D139" s="7">
        <v>3315.22</v>
      </c>
      <c r="E139" s="7">
        <v>22069.85</v>
      </c>
      <c r="F139" s="7">
        <v>3358.7</v>
      </c>
      <c r="G139" s="7">
        <v>0</v>
      </c>
      <c r="H139" s="7">
        <f t="shared" si="13"/>
        <v>25428.55</v>
      </c>
      <c r="I139" s="12">
        <v>24478.2</v>
      </c>
      <c r="J139" s="12">
        <v>2701.8</v>
      </c>
      <c r="K139" s="12">
        <v>23073.96</v>
      </c>
      <c r="L139" s="12">
        <v>1815.6</v>
      </c>
      <c r="M139" s="7">
        <v>745043</v>
      </c>
      <c r="N139" s="7">
        <f t="shared" si="14"/>
        <v>-720153.44</v>
      </c>
      <c r="O139" s="7">
        <v>31836.72</v>
      </c>
      <c r="P139" s="7">
        <v>31546.08</v>
      </c>
      <c r="Q139" s="7">
        <v>16938</v>
      </c>
      <c r="R139" s="7">
        <f t="shared" si="15"/>
        <v>14608.080000000002</v>
      </c>
      <c r="S139" s="12">
        <v>32978.28</v>
      </c>
      <c r="T139" s="12">
        <v>31889.42</v>
      </c>
      <c r="U139" s="7">
        <v>17046</v>
      </c>
      <c r="V139" s="7">
        <f t="shared" si="16"/>
        <v>14843.419999999998</v>
      </c>
      <c r="W139" s="7">
        <v>13932.05</v>
      </c>
      <c r="X139" s="7">
        <f>2758.84+8498.36</f>
        <v>11257.2</v>
      </c>
      <c r="Y139" s="7"/>
      <c r="Z139" s="12">
        <v>2894.22</v>
      </c>
      <c r="AA139" s="7">
        <f t="shared" si="17"/>
        <v>-687568.4199999999</v>
      </c>
    </row>
    <row r="140" spans="1:27" s="10" customFormat="1" ht="12.75">
      <c r="A140" s="7">
        <f t="shared" si="18"/>
        <v>55</v>
      </c>
      <c r="B140" s="7" t="s">
        <v>35</v>
      </c>
      <c r="C140" s="7">
        <v>22201.2</v>
      </c>
      <c r="D140" s="7">
        <v>3328.68</v>
      </c>
      <c r="E140" s="7">
        <v>20930.55</v>
      </c>
      <c r="F140" s="7">
        <v>2739.98</v>
      </c>
      <c r="G140" s="7">
        <v>0</v>
      </c>
      <c r="H140" s="7">
        <f t="shared" si="13"/>
        <v>23670.53</v>
      </c>
      <c r="I140" s="12">
        <v>22973.4</v>
      </c>
      <c r="J140" s="12">
        <v>3443.4</v>
      </c>
      <c r="K140" s="12">
        <v>23294.69</v>
      </c>
      <c r="L140" s="12">
        <v>4029.53</v>
      </c>
      <c r="M140" s="7"/>
      <c r="N140" s="7">
        <f t="shared" si="14"/>
        <v>27324.219999999998</v>
      </c>
      <c r="O140" s="7">
        <v>30987.12</v>
      </c>
      <c r="P140" s="7">
        <v>28517.24</v>
      </c>
      <c r="Q140" s="7">
        <v>3698</v>
      </c>
      <c r="R140" s="7">
        <f t="shared" si="15"/>
        <v>24819.24</v>
      </c>
      <c r="S140" s="12">
        <v>32052.32</v>
      </c>
      <c r="T140" s="12">
        <v>29508.24</v>
      </c>
      <c r="U140" s="7">
        <v>95386</v>
      </c>
      <c r="V140" s="7">
        <f t="shared" si="16"/>
        <v>-65877.76</v>
      </c>
      <c r="W140" s="7">
        <v>18808.26</v>
      </c>
      <c r="X140" s="7">
        <f>2211.32+10704.96</f>
        <v>12916.279999999999</v>
      </c>
      <c r="Y140" s="7"/>
      <c r="Z140" s="12">
        <v>2327.32</v>
      </c>
      <c r="AA140" s="7">
        <f t="shared" si="17"/>
        <v>-19460.989999999987</v>
      </c>
    </row>
    <row r="141" spans="1:27" s="10" customFormat="1" ht="12.75">
      <c r="A141" s="7">
        <f t="shared" si="18"/>
        <v>56</v>
      </c>
      <c r="B141" s="7" t="s">
        <v>36</v>
      </c>
      <c r="C141" s="7">
        <v>11310.3</v>
      </c>
      <c r="D141" s="7">
        <v>1425.12</v>
      </c>
      <c r="E141" s="7">
        <v>11724.08</v>
      </c>
      <c r="F141" s="7">
        <v>1294.87</v>
      </c>
      <c r="G141" s="7">
        <v>59158</v>
      </c>
      <c r="H141" s="7">
        <f t="shared" si="13"/>
        <v>-46139.05</v>
      </c>
      <c r="I141" s="12">
        <v>11667.6</v>
      </c>
      <c r="J141" s="12">
        <v>1474.2</v>
      </c>
      <c r="K141" s="12">
        <v>11141.66</v>
      </c>
      <c r="L141" s="12">
        <v>1598.64</v>
      </c>
      <c r="M141" s="7"/>
      <c r="N141" s="7">
        <f t="shared" si="14"/>
        <v>12740.3</v>
      </c>
      <c r="O141" s="7">
        <v>15457.74</v>
      </c>
      <c r="P141" s="7">
        <v>15427.69</v>
      </c>
      <c r="Q141" s="7">
        <v>6020</v>
      </c>
      <c r="R141" s="7">
        <f t="shared" si="15"/>
        <v>9407.69</v>
      </c>
      <c r="S141" s="12">
        <v>15945.6</v>
      </c>
      <c r="T141" s="12">
        <v>15647.7</v>
      </c>
      <c r="U141" s="7">
        <v>64666</v>
      </c>
      <c r="V141" s="7">
        <f t="shared" si="16"/>
        <v>-49018.3</v>
      </c>
      <c r="W141" s="7">
        <v>11842.24</v>
      </c>
      <c r="X141" s="7">
        <v>11998.24</v>
      </c>
      <c r="Y141" s="7"/>
      <c r="Z141" s="12">
        <v>1076.31</v>
      </c>
      <c r="AA141" s="7">
        <f t="shared" si="17"/>
        <v>-95773.53000000001</v>
      </c>
    </row>
    <row r="142" spans="1:27" s="10" customFormat="1" ht="12.75">
      <c r="A142" s="7">
        <f t="shared" si="18"/>
        <v>57</v>
      </c>
      <c r="B142" s="7" t="s">
        <v>184</v>
      </c>
      <c r="C142" s="7">
        <v>0</v>
      </c>
      <c r="D142" s="7">
        <v>6660.73</v>
      </c>
      <c r="E142" s="7">
        <v>0</v>
      </c>
      <c r="F142" s="7">
        <v>13356.95</v>
      </c>
      <c r="G142" s="7">
        <v>0</v>
      </c>
      <c r="H142" s="7">
        <f t="shared" si="13"/>
        <v>13356.95</v>
      </c>
      <c r="I142" s="12">
        <v>3187.95</v>
      </c>
      <c r="J142" s="12">
        <v>4200.36</v>
      </c>
      <c r="K142" s="12">
        <v>3449.52</v>
      </c>
      <c r="L142" s="12">
        <v>5121.3</v>
      </c>
      <c r="M142" s="7"/>
      <c r="N142" s="7">
        <f t="shared" si="14"/>
        <v>8570.82</v>
      </c>
      <c r="O142" s="7">
        <v>4615.54</v>
      </c>
      <c r="P142" s="7">
        <v>4834.06</v>
      </c>
      <c r="Q142" s="7">
        <v>3894</v>
      </c>
      <c r="R142" s="7">
        <f t="shared" si="15"/>
        <v>940.0600000000004</v>
      </c>
      <c r="S142" s="12">
        <v>4952.81</v>
      </c>
      <c r="T142" s="12">
        <v>4770.62</v>
      </c>
      <c r="U142" s="7">
        <v>4835</v>
      </c>
      <c r="V142" s="7">
        <f t="shared" si="16"/>
        <v>-64.38000000000011</v>
      </c>
      <c r="W142" s="7">
        <f>33226.59+28767.08</f>
        <v>61993.67</v>
      </c>
      <c r="X142" s="7">
        <f>27502.3-1940.41</f>
        <v>25561.89</v>
      </c>
      <c r="Y142" s="7">
        <f>14164.45+3749.81</f>
        <v>17914.260000000002</v>
      </c>
      <c r="Z142" s="12">
        <v>17290.82</v>
      </c>
      <c r="AA142" s="7">
        <f t="shared" si="17"/>
        <v>-29547.03</v>
      </c>
    </row>
    <row r="143" spans="1:27" s="10" customFormat="1" ht="12.75">
      <c r="A143" s="7">
        <f t="shared" si="18"/>
        <v>58</v>
      </c>
      <c r="B143" s="7" t="s">
        <v>37</v>
      </c>
      <c r="C143" s="7">
        <v>9525.24</v>
      </c>
      <c r="D143" s="7">
        <v>1524.24</v>
      </c>
      <c r="E143" s="7">
        <v>9393.68</v>
      </c>
      <c r="F143" s="7">
        <v>841.95</v>
      </c>
      <c r="G143" s="7">
        <v>0</v>
      </c>
      <c r="H143" s="7">
        <f t="shared" si="13"/>
        <v>10235.630000000001</v>
      </c>
      <c r="I143" s="12">
        <v>9853.2</v>
      </c>
      <c r="J143" s="12">
        <v>1576.8</v>
      </c>
      <c r="K143" s="12">
        <v>9935.06</v>
      </c>
      <c r="L143" s="12">
        <v>810</v>
      </c>
      <c r="M143" s="7">
        <v>22411</v>
      </c>
      <c r="N143" s="7">
        <f t="shared" si="14"/>
        <v>-11665.94</v>
      </c>
      <c r="O143" s="7">
        <v>13411.32</v>
      </c>
      <c r="P143" s="7">
        <v>12172.18</v>
      </c>
      <c r="Q143" s="7">
        <v>1066</v>
      </c>
      <c r="R143" s="7">
        <f t="shared" si="15"/>
        <v>11106.18</v>
      </c>
      <c r="S143" s="12">
        <v>13868.4</v>
      </c>
      <c r="T143" s="12">
        <v>13219.48</v>
      </c>
      <c r="U143" s="7">
        <v>747</v>
      </c>
      <c r="V143" s="7">
        <f t="shared" si="16"/>
        <v>12472.48</v>
      </c>
      <c r="W143" s="7">
        <v>4179.61</v>
      </c>
      <c r="X143" s="7">
        <v>4071</v>
      </c>
      <c r="Y143" s="7"/>
      <c r="Z143" s="12">
        <v>1182.57</v>
      </c>
      <c r="AA143" s="7">
        <f t="shared" si="17"/>
        <v>15080.309999999998</v>
      </c>
    </row>
    <row r="144" spans="1:27" s="10" customFormat="1" ht="12.75">
      <c r="A144" s="7">
        <f t="shared" si="18"/>
        <v>59</v>
      </c>
      <c r="B144" s="7" t="s">
        <v>38</v>
      </c>
      <c r="C144" s="7">
        <v>869.93</v>
      </c>
      <c r="D144" s="7">
        <v>6489.06</v>
      </c>
      <c r="E144" s="7">
        <v>617.21</v>
      </c>
      <c r="F144" s="7">
        <v>9552.13</v>
      </c>
      <c r="G144" s="7">
        <v>0</v>
      </c>
      <c r="H144" s="7">
        <f t="shared" si="13"/>
        <v>10169.34</v>
      </c>
      <c r="I144" s="12">
        <v>4048.2</v>
      </c>
      <c r="J144" s="12">
        <v>3711.84</v>
      </c>
      <c r="K144" s="12">
        <v>4353.47</v>
      </c>
      <c r="L144" s="12">
        <v>8245.33</v>
      </c>
      <c r="M144" s="7"/>
      <c r="N144" s="7">
        <f t="shared" si="14"/>
        <v>12598.8</v>
      </c>
      <c r="O144" s="7">
        <v>4948.25</v>
      </c>
      <c r="P144" s="7">
        <v>4887.19</v>
      </c>
      <c r="Q144" s="7">
        <v>43962</v>
      </c>
      <c r="R144" s="7">
        <f t="shared" si="15"/>
        <v>-39074.81</v>
      </c>
      <c r="S144" s="12">
        <v>5206.39</v>
      </c>
      <c r="T144" s="12">
        <v>5535.34</v>
      </c>
      <c r="U144" s="7">
        <v>32826</v>
      </c>
      <c r="V144" s="7">
        <f t="shared" si="16"/>
        <v>-27290.66</v>
      </c>
      <c r="W144" s="7">
        <f>49780.64+2578.51</f>
        <v>52359.15</v>
      </c>
      <c r="X144" s="7">
        <v>50183.28</v>
      </c>
      <c r="Y144" s="7">
        <v>12368.57</v>
      </c>
      <c r="Z144" s="12">
        <v>19886.06</v>
      </c>
      <c r="AA144" s="7">
        <f t="shared" si="17"/>
        <v>-113885.13</v>
      </c>
    </row>
    <row r="145" spans="1:27" s="10" customFormat="1" ht="12.75">
      <c r="A145" s="7">
        <f t="shared" si="18"/>
        <v>60</v>
      </c>
      <c r="B145" s="7" t="s">
        <v>39</v>
      </c>
      <c r="C145" s="7">
        <v>9866.16</v>
      </c>
      <c r="D145" s="7">
        <v>1074.6</v>
      </c>
      <c r="E145" s="7">
        <v>7908.01</v>
      </c>
      <c r="F145" s="7">
        <v>601.65</v>
      </c>
      <c r="G145" s="7">
        <v>0</v>
      </c>
      <c r="H145" s="7">
        <f t="shared" si="13"/>
        <v>8509.66</v>
      </c>
      <c r="I145" s="12">
        <v>10206</v>
      </c>
      <c r="J145" s="12">
        <v>1111.68</v>
      </c>
      <c r="K145" s="12">
        <v>8138.49</v>
      </c>
      <c r="L145" s="12">
        <v>676.8</v>
      </c>
      <c r="M145" s="7"/>
      <c r="N145" s="7">
        <f t="shared" si="14"/>
        <v>8815.289999999999</v>
      </c>
      <c r="O145" s="7">
        <v>13605.6</v>
      </c>
      <c r="P145" s="7">
        <v>10262.26</v>
      </c>
      <c r="Q145" s="7">
        <v>7307</v>
      </c>
      <c r="R145" s="7">
        <f t="shared" si="15"/>
        <v>2955.26</v>
      </c>
      <c r="S145" s="12">
        <v>14069.16</v>
      </c>
      <c r="T145" s="12">
        <v>10941.74</v>
      </c>
      <c r="U145" s="7">
        <v>68</v>
      </c>
      <c r="V145" s="7">
        <f t="shared" si="16"/>
        <v>10873.74</v>
      </c>
      <c r="W145" s="7">
        <v>4179.61</v>
      </c>
      <c r="X145" s="7">
        <f>358.72+3176.56</f>
        <v>3535.2799999999997</v>
      </c>
      <c r="Y145" s="7"/>
      <c r="Z145" s="12">
        <v>343.97</v>
      </c>
      <c r="AA145" s="7">
        <f t="shared" si="17"/>
        <v>23783.03</v>
      </c>
    </row>
    <row r="146" spans="1:27" s="10" customFormat="1" ht="12.75">
      <c r="A146" s="7">
        <f t="shared" si="18"/>
        <v>61</v>
      </c>
      <c r="B146" s="7" t="s">
        <v>40</v>
      </c>
      <c r="C146" s="7">
        <v>22029.36</v>
      </c>
      <c r="D146" s="7">
        <v>0</v>
      </c>
      <c r="E146" s="7">
        <v>21069.41</v>
      </c>
      <c r="F146" s="7">
        <v>0</v>
      </c>
      <c r="G146" s="7">
        <v>0</v>
      </c>
      <c r="H146" s="7">
        <f t="shared" si="13"/>
        <v>21069.41</v>
      </c>
      <c r="I146" s="12">
        <v>22788.75</v>
      </c>
      <c r="J146" s="7"/>
      <c r="K146" s="12">
        <v>23170.6</v>
      </c>
      <c r="L146" s="7"/>
      <c r="M146" s="7"/>
      <c r="N146" s="7">
        <f t="shared" si="14"/>
        <v>23170.6</v>
      </c>
      <c r="O146" s="7">
        <v>26737.92</v>
      </c>
      <c r="P146" s="7">
        <v>25860.49</v>
      </c>
      <c r="Q146" s="7">
        <v>50477</v>
      </c>
      <c r="R146" s="7">
        <f t="shared" si="15"/>
        <v>-24616.51</v>
      </c>
      <c r="S146" s="12">
        <v>27650.34</v>
      </c>
      <c r="T146" s="12">
        <v>28294.55</v>
      </c>
      <c r="U146" s="7">
        <v>647</v>
      </c>
      <c r="V146" s="7">
        <f t="shared" si="16"/>
        <v>27647.55</v>
      </c>
      <c r="W146" s="7">
        <v>834.2</v>
      </c>
      <c r="X146" s="7">
        <v>3523.48</v>
      </c>
      <c r="Y146" s="7"/>
      <c r="Z146" s="12">
        <v>936.04</v>
      </c>
      <c r="AA146" s="7">
        <f t="shared" si="17"/>
        <v>43849.409999999996</v>
      </c>
    </row>
    <row r="147" spans="1:27" s="10" customFormat="1" ht="12.75">
      <c r="A147" s="7">
        <f t="shared" si="18"/>
        <v>62</v>
      </c>
      <c r="B147" s="7" t="s">
        <v>41</v>
      </c>
      <c r="C147" s="7">
        <v>20586.8</v>
      </c>
      <c r="D147" s="7">
        <v>1016.2</v>
      </c>
      <c r="E147" s="7">
        <v>19445.15</v>
      </c>
      <c r="F147" s="7">
        <v>1016.2</v>
      </c>
      <c r="G147" s="7">
        <v>0</v>
      </c>
      <c r="H147" s="7">
        <f t="shared" si="13"/>
        <v>20461.350000000002</v>
      </c>
      <c r="I147" s="12">
        <v>21810.6</v>
      </c>
      <c r="J147" s="7"/>
      <c r="K147" s="12">
        <v>21227.27</v>
      </c>
      <c r="L147" s="7"/>
      <c r="M147" s="7"/>
      <c r="N147" s="7">
        <f t="shared" si="14"/>
        <v>21227.27</v>
      </c>
      <c r="O147" s="7">
        <v>26220.24</v>
      </c>
      <c r="P147" s="7">
        <v>24482.56</v>
      </c>
      <c r="Q147" s="7">
        <v>0</v>
      </c>
      <c r="R147" s="7">
        <f t="shared" si="15"/>
        <v>24482.56</v>
      </c>
      <c r="S147" s="12">
        <v>27114.6</v>
      </c>
      <c r="T147" s="12">
        <v>27397.2</v>
      </c>
      <c r="U147" s="7">
        <v>11191</v>
      </c>
      <c r="V147" s="7">
        <f t="shared" si="16"/>
        <v>16206.2</v>
      </c>
      <c r="W147" s="7">
        <v>11145.64</v>
      </c>
      <c r="X147" s="7">
        <f>1290.92+5210.88</f>
        <v>6501.8</v>
      </c>
      <c r="Y147" s="7"/>
      <c r="Z147" s="12">
        <v>836.29</v>
      </c>
      <c r="AA147" s="7">
        <f t="shared" si="17"/>
        <v>65566.23</v>
      </c>
    </row>
    <row r="148" spans="1:27" s="10" customFormat="1" ht="12.75">
      <c r="A148" s="7">
        <f t="shared" si="18"/>
        <v>63</v>
      </c>
      <c r="B148" s="7" t="s">
        <v>42</v>
      </c>
      <c r="C148" s="7">
        <v>6914.88</v>
      </c>
      <c r="D148" s="7">
        <v>0</v>
      </c>
      <c r="E148" s="7">
        <v>6834.85</v>
      </c>
      <c r="F148" s="7">
        <v>0</v>
      </c>
      <c r="G148" s="7">
        <v>0</v>
      </c>
      <c r="H148" s="7">
        <f t="shared" si="13"/>
        <v>6834.85</v>
      </c>
      <c r="I148" s="12">
        <v>7153.2</v>
      </c>
      <c r="J148" s="7"/>
      <c r="K148" s="12">
        <v>5719.82</v>
      </c>
      <c r="L148" s="7"/>
      <c r="M148" s="7"/>
      <c r="N148" s="7">
        <f t="shared" si="14"/>
        <v>5719.82</v>
      </c>
      <c r="O148" s="7">
        <v>8393.04</v>
      </c>
      <c r="P148" s="7">
        <v>8081.88</v>
      </c>
      <c r="Q148" s="7">
        <v>0</v>
      </c>
      <c r="R148" s="7">
        <f t="shared" si="15"/>
        <v>8081.88</v>
      </c>
      <c r="S148" s="12">
        <v>8679.24</v>
      </c>
      <c r="T148" s="12">
        <v>8563.28</v>
      </c>
      <c r="U148" s="7">
        <v>0</v>
      </c>
      <c r="V148" s="7">
        <f t="shared" si="16"/>
        <v>8563.28</v>
      </c>
      <c r="W148" s="7"/>
      <c r="X148" s="7"/>
      <c r="Y148" s="7"/>
      <c r="Z148" s="7"/>
      <c r="AA148" s="7">
        <f t="shared" si="17"/>
        <v>29199.83</v>
      </c>
    </row>
    <row r="149" spans="1:27" s="10" customFormat="1" ht="12.75">
      <c r="A149" s="7">
        <f t="shared" si="18"/>
        <v>64</v>
      </c>
      <c r="B149" s="7" t="s">
        <v>43</v>
      </c>
      <c r="C149" s="7">
        <v>737.28</v>
      </c>
      <c r="D149" s="7">
        <v>3868.68</v>
      </c>
      <c r="E149" s="7">
        <v>708.71</v>
      </c>
      <c r="F149" s="7">
        <v>3942.87</v>
      </c>
      <c r="G149" s="7">
        <v>0</v>
      </c>
      <c r="H149" s="7">
        <f aca="true" t="shared" si="19" ref="H149:H196">E149+F149-G149</f>
        <v>4651.58</v>
      </c>
      <c r="I149" s="12">
        <v>1867.35</v>
      </c>
      <c r="J149" s="12">
        <v>2902.2</v>
      </c>
      <c r="K149" s="12">
        <v>1817.4</v>
      </c>
      <c r="L149" s="12">
        <v>2993</v>
      </c>
      <c r="M149" s="7"/>
      <c r="N149" s="7">
        <f t="shared" si="14"/>
        <v>4810.4</v>
      </c>
      <c r="O149" s="7">
        <v>2509.32</v>
      </c>
      <c r="P149" s="7">
        <v>2556.72</v>
      </c>
      <c r="Q149" s="7">
        <v>344</v>
      </c>
      <c r="R149" s="7">
        <f aca="true" t="shared" si="20" ref="R149:R196">P149-Q149</f>
        <v>2212.72</v>
      </c>
      <c r="S149" s="12">
        <v>2607.35</v>
      </c>
      <c r="T149" s="12">
        <v>2606.94</v>
      </c>
      <c r="U149" s="7">
        <v>0</v>
      </c>
      <c r="V149" s="7">
        <f t="shared" si="16"/>
        <v>2606.94</v>
      </c>
      <c r="W149" s="7">
        <v>3315</v>
      </c>
      <c r="X149" s="7">
        <f>1067.55+1242.45</f>
        <v>2310</v>
      </c>
      <c r="Y149" s="7"/>
      <c r="Z149" s="12">
        <v>550.05</v>
      </c>
      <c r="AA149" s="7">
        <f t="shared" si="17"/>
        <v>9206.689999999999</v>
      </c>
    </row>
    <row r="150" spans="1:27" s="10" customFormat="1" ht="12.75">
      <c r="A150" s="7">
        <f t="shared" si="18"/>
        <v>65</v>
      </c>
      <c r="B150" s="7" t="s">
        <v>44</v>
      </c>
      <c r="C150" s="7">
        <v>18516.12</v>
      </c>
      <c r="D150" s="7">
        <v>2827.56</v>
      </c>
      <c r="E150" s="7">
        <v>16882.56</v>
      </c>
      <c r="F150" s="7">
        <v>2819.04</v>
      </c>
      <c r="G150" s="7">
        <v>0</v>
      </c>
      <c r="H150" s="7">
        <f t="shared" si="19"/>
        <v>19701.600000000002</v>
      </c>
      <c r="I150" s="12">
        <v>19143.45</v>
      </c>
      <c r="J150" s="12">
        <v>2925</v>
      </c>
      <c r="K150" s="12">
        <v>18086.48</v>
      </c>
      <c r="L150" s="12">
        <v>2925</v>
      </c>
      <c r="M150" s="7">
        <v>59309</v>
      </c>
      <c r="N150" s="7">
        <f t="shared" si="14"/>
        <v>-38297.520000000004</v>
      </c>
      <c r="O150" s="7">
        <v>26790.6</v>
      </c>
      <c r="P150" s="7">
        <v>24832.9</v>
      </c>
      <c r="Q150" s="7">
        <v>18324</v>
      </c>
      <c r="R150" s="7">
        <f t="shared" si="20"/>
        <v>6508.9000000000015</v>
      </c>
      <c r="S150" s="12">
        <v>27691.68</v>
      </c>
      <c r="T150" s="12">
        <v>26276.12</v>
      </c>
      <c r="U150" s="7">
        <v>13302</v>
      </c>
      <c r="V150" s="7">
        <f t="shared" si="16"/>
        <v>12974.119999999999</v>
      </c>
      <c r="W150" s="7">
        <v>11842.24</v>
      </c>
      <c r="X150" s="7">
        <f>5595.56+1977.68</f>
        <v>7573.240000000001</v>
      </c>
      <c r="Y150" s="7"/>
      <c r="Z150" s="12">
        <v>3581</v>
      </c>
      <c r="AA150" s="7">
        <f t="shared" si="17"/>
        <v>-14947.380000000001</v>
      </c>
    </row>
    <row r="151" spans="1:27" s="10" customFormat="1" ht="12.75">
      <c r="A151" s="7">
        <f t="shared" si="18"/>
        <v>66</v>
      </c>
      <c r="B151" s="7" t="s">
        <v>45</v>
      </c>
      <c r="C151" s="7">
        <v>54255.4</v>
      </c>
      <c r="D151" s="7">
        <v>10176.69</v>
      </c>
      <c r="E151" s="7">
        <v>54160.99</v>
      </c>
      <c r="F151" s="7">
        <v>9224.55</v>
      </c>
      <c r="G151" s="7">
        <v>28568</v>
      </c>
      <c r="H151" s="7">
        <f t="shared" si="19"/>
        <v>34817.53999999999</v>
      </c>
      <c r="I151" s="12">
        <v>56599.92</v>
      </c>
      <c r="J151" s="12">
        <v>10062.9</v>
      </c>
      <c r="K151" s="12">
        <v>55501.92</v>
      </c>
      <c r="L151" s="12">
        <v>10474.23</v>
      </c>
      <c r="M151" s="7"/>
      <c r="N151" s="7">
        <f aca="true" t="shared" si="21" ref="N151:N196">K151+L151-M151</f>
        <v>65976.15</v>
      </c>
      <c r="O151" s="7">
        <v>78204.29</v>
      </c>
      <c r="P151" s="7">
        <v>76050.69</v>
      </c>
      <c r="Q151" s="7">
        <v>54110</v>
      </c>
      <c r="R151" s="7">
        <f t="shared" si="20"/>
        <v>21940.690000000002</v>
      </c>
      <c r="S151" s="12">
        <v>80884.02</v>
      </c>
      <c r="T151" s="12">
        <v>80656.67</v>
      </c>
      <c r="U151" s="7">
        <v>90118</v>
      </c>
      <c r="V151" s="7">
        <f aca="true" t="shared" si="22" ref="V151:V196">T151-U151</f>
        <v>-9461.330000000002</v>
      </c>
      <c r="W151" s="7">
        <f>1436.21+17415.06+9030</f>
        <v>27881.27</v>
      </c>
      <c r="X151" s="7">
        <f>750.48+2947.64+19470</f>
        <v>23168.12</v>
      </c>
      <c r="Y151" s="7"/>
      <c r="Z151" s="12">
        <v>12420.34</v>
      </c>
      <c r="AA151" s="7">
        <f aca="true" t="shared" si="23" ref="AA151:AA196">H151+N151+R151+V151-W151-X151+Y151+Z151</f>
        <v>74643.99999999999</v>
      </c>
    </row>
    <row r="152" spans="1:27" s="10" customFormat="1" ht="12.75">
      <c r="A152" s="7">
        <f t="shared" si="18"/>
        <v>67</v>
      </c>
      <c r="B152" s="7" t="s">
        <v>46</v>
      </c>
      <c r="C152" s="7">
        <v>19941.24</v>
      </c>
      <c r="D152" s="7">
        <v>1896.24</v>
      </c>
      <c r="E152" s="7">
        <v>19339.91</v>
      </c>
      <c r="F152" s="7">
        <v>1156.56</v>
      </c>
      <c r="G152" s="7">
        <v>0</v>
      </c>
      <c r="H152" s="7">
        <f t="shared" si="19"/>
        <v>20496.47</v>
      </c>
      <c r="I152" s="12">
        <v>20627.1</v>
      </c>
      <c r="J152" s="12">
        <v>1961.64</v>
      </c>
      <c r="K152" s="12">
        <v>20850.44</v>
      </c>
      <c r="L152" s="12">
        <v>1128.8</v>
      </c>
      <c r="M152" s="7">
        <v>78906</v>
      </c>
      <c r="N152" s="7">
        <f t="shared" si="21"/>
        <v>-56926.76</v>
      </c>
      <c r="O152" s="7">
        <v>26505.12</v>
      </c>
      <c r="P152" s="7">
        <v>24599.06</v>
      </c>
      <c r="Q152" s="7">
        <v>2260</v>
      </c>
      <c r="R152" s="7">
        <f t="shared" si="20"/>
        <v>22339.06</v>
      </c>
      <c r="S152" s="12">
        <v>27407.65</v>
      </c>
      <c r="T152" s="12">
        <v>26761.49</v>
      </c>
      <c r="U152" s="7">
        <v>11701</v>
      </c>
      <c r="V152" s="7">
        <f t="shared" si="22"/>
        <v>15060.490000000002</v>
      </c>
      <c r="W152" s="7">
        <v>1558.76</v>
      </c>
      <c r="X152" s="7">
        <v>6435.72</v>
      </c>
      <c r="Y152" s="7"/>
      <c r="Z152" s="12">
        <v>3648.38</v>
      </c>
      <c r="AA152" s="7">
        <f t="shared" si="23"/>
        <v>-3376.8399999999983</v>
      </c>
    </row>
    <row r="153" spans="1:27" s="10" customFormat="1" ht="12.75">
      <c r="A153" s="7">
        <f t="shared" si="18"/>
        <v>68</v>
      </c>
      <c r="B153" s="7" t="s">
        <v>47</v>
      </c>
      <c r="C153" s="7">
        <v>18368.16</v>
      </c>
      <c r="D153" s="7">
        <v>3711.48</v>
      </c>
      <c r="E153" s="7">
        <v>17565.73</v>
      </c>
      <c r="F153" s="7">
        <v>3580.6</v>
      </c>
      <c r="G153" s="7">
        <v>480653</v>
      </c>
      <c r="H153" s="7">
        <f t="shared" si="19"/>
        <v>-459506.67</v>
      </c>
      <c r="I153" s="12">
        <v>19680.6</v>
      </c>
      <c r="J153" s="12">
        <v>3156.3</v>
      </c>
      <c r="K153" s="12">
        <v>19472.65</v>
      </c>
      <c r="L153" s="12">
        <v>3091.5</v>
      </c>
      <c r="M153" s="7"/>
      <c r="N153" s="7">
        <f t="shared" si="21"/>
        <v>22564.15</v>
      </c>
      <c r="O153" s="7">
        <v>26799</v>
      </c>
      <c r="P153" s="7">
        <v>25306.23</v>
      </c>
      <c r="Q153" s="7">
        <v>81279</v>
      </c>
      <c r="R153" s="7">
        <f t="shared" si="20"/>
        <v>-55972.770000000004</v>
      </c>
      <c r="S153" s="12">
        <v>27708.61</v>
      </c>
      <c r="T153" s="12">
        <v>26467.47</v>
      </c>
      <c r="U153" s="7">
        <v>11313</v>
      </c>
      <c r="V153" s="7">
        <f t="shared" si="22"/>
        <v>15154.470000000001</v>
      </c>
      <c r="W153" s="7">
        <v>12538.84</v>
      </c>
      <c r="X153" s="7">
        <f>4177.2+2093.32</f>
        <v>6270.52</v>
      </c>
      <c r="Y153" s="7"/>
      <c r="Z153" s="12">
        <v>1693.49</v>
      </c>
      <c r="AA153" s="7">
        <f t="shared" si="23"/>
        <v>-494876.69</v>
      </c>
    </row>
    <row r="154" spans="1:27" s="10" customFormat="1" ht="12.75">
      <c r="A154" s="7">
        <f t="shared" si="18"/>
        <v>69</v>
      </c>
      <c r="B154" s="7" t="s">
        <v>48</v>
      </c>
      <c r="C154" s="7">
        <v>11007.48</v>
      </c>
      <c r="D154" s="7">
        <v>1385.16</v>
      </c>
      <c r="E154" s="7">
        <v>10766.9</v>
      </c>
      <c r="F154" s="7">
        <v>1397.9</v>
      </c>
      <c r="G154" s="7">
        <v>0</v>
      </c>
      <c r="H154" s="7">
        <f t="shared" si="19"/>
        <v>12164.8</v>
      </c>
      <c r="I154" s="12">
        <v>12035.25</v>
      </c>
      <c r="J154" s="12">
        <v>784.35</v>
      </c>
      <c r="K154" s="12">
        <v>11879.53</v>
      </c>
      <c r="L154" s="12">
        <v>843.3</v>
      </c>
      <c r="M154" s="7"/>
      <c r="N154" s="7">
        <f t="shared" si="21"/>
        <v>12722.83</v>
      </c>
      <c r="O154" s="7">
        <v>15041.64</v>
      </c>
      <c r="P154" s="7">
        <v>14548.22</v>
      </c>
      <c r="Q154" s="7">
        <v>4069</v>
      </c>
      <c r="R154" s="7">
        <f t="shared" si="20"/>
        <v>10479.22</v>
      </c>
      <c r="S154" s="12">
        <v>15554.64</v>
      </c>
      <c r="T154" s="12">
        <v>15158.03</v>
      </c>
      <c r="U154" s="7">
        <v>2808</v>
      </c>
      <c r="V154" s="7">
        <f t="shared" si="22"/>
        <v>12350.03</v>
      </c>
      <c r="W154" s="7">
        <v>9752.43</v>
      </c>
      <c r="X154" s="7">
        <f>1194.16+5550.72</f>
        <v>6744.88</v>
      </c>
      <c r="Y154" s="7"/>
      <c r="Z154" s="12">
        <v>1349.08</v>
      </c>
      <c r="AA154" s="7">
        <f t="shared" si="23"/>
        <v>32568.649999999994</v>
      </c>
    </row>
    <row r="155" spans="1:27" s="10" customFormat="1" ht="12.75">
      <c r="A155" s="7">
        <f t="shared" si="18"/>
        <v>70</v>
      </c>
      <c r="B155" s="7" t="s">
        <v>49</v>
      </c>
      <c r="C155" s="7">
        <v>1851.59</v>
      </c>
      <c r="D155" s="7">
        <v>21830.03</v>
      </c>
      <c r="E155" s="7">
        <v>2169.67</v>
      </c>
      <c r="F155" s="7">
        <v>22063.48</v>
      </c>
      <c r="G155" s="7">
        <v>0</v>
      </c>
      <c r="H155" s="7">
        <f t="shared" si="19"/>
        <v>24233.15</v>
      </c>
      <c r="I155" s="12">
        <v>13556.4</v>
      </c>
      <c r="J155" s="12">
        <v>11014.83</v>
      </c>
      <c r="K155" s="12">
        <v>11956.01</v>
      </c>
      <c r="L155" s="12">
        <v>9826.12</v>
      </c>
      <c r="M155" s="7"/>
      <c r="N155" s="7">
        <f t="shared" si="21"/>
        <v>21782.13</v>
      </c>
      <c r="O155" s="7">
        <v>13026.46</v>
      </c>
      <c r="P155" s="7">
        <v>12463.9</v>
      </c>
      <c r="Q155" s="7">
        <v>51819</v>
      </c>
      <c r="R155" s="7">
        <f t="shared" si="20"/>
        <v>-39355.1</v>
      </c>
      <c r="S155" s="12">
        <v>13560.52</v>
      </c>
      <c r="T155" s="12">
        <v>13782.45</v>
      </c>
      <c r="U155" s="7">
        <v>59883</v>
      </c>
      <c r="V155" s="7">
        <f t="shared" si="22"/>
        <v>-46100.55</v>
      </c>
      <c r="W155" s="7">
        <f>95109.27+103860.3</f>
        <v>198969.57</v>
      </c>
      <c r="X155" s="7">
        <v>169830.1</v>
      </c>
      <c r="Y155" s="7">
        <v>178006.2</v>
      </c>
      <c r="Z155" s="12">
        <v>2921.28</v>
      </c>
      <c r="AA155" s="7">
        <f t="shared" si="23"/>
        <v>-227312.56000000003</v>
      </c>
    </row>
    <row r="156" spans="1:27" s="10" customFormat="1" ht="12.75">
      <c r="A156" s="7">
        <f aca="true" t="shared" si="24" ref="A156:A196">A155+1</f>
        <v>71</v>
      </c>
      <c r="B156" s="7" t="s">
        <v>50</v>
      </c>
      <c r="C156" s="7">
        <v>2773.91</v>
      </c>
      <c r="D156" s="7">
        <v>19259.73</v>
      </c>
      <c r="E156" s="7">
        <v>1868.19</v>
      </c>
      <c r="F156" s="7">
        <v>18028.91</v>
      </c>
      <c r="G156" s="7">
        <v>0</v>
      </c>
      <c r="H156" s="7">
        <f t="shared" si="19"/>
        <v>19897.1</v>
      </c>
      <c r="I156" s="12">
        <v>13860.6</v>
      </c>
      <c r="J156" s="12">
        <v>9084.9</v>
      </c>
      <c r="K156" s="12">
        <v>13691.86</v>
      </c>
      <c r="L156" s="12">
        <v>8382.16</v>
      </c>
      <c r="M156" s="7"/>
      <c r="N156" s="7">
        <f t="shared" si="21"/>
        <v>22074.02</v>
      </c>
      <c r="O156" s="7">
        <v>12005.25</v>
      </c>
      <c r="P156" s="7">
        <v>11508.34</v>
      </c>
      <c r="Q156" s="7">
        <v>27906</v>
      </c>
      <c r="R156" s="7">
        <f t="shared" si="20"/>
        <v>-16397.66</v>
      </c>
      <c r="S156" s="12">
        <v>12544.11</v>
      </c>
      <c r="T156" s="12">
        <v>12865.9</v>
      </c>
      <c r="U156" s="7">
        <v>29131</v>
      </c>
      <c r="V156" s="7">
        <f t="shared" si="22"/>
        <v>-16265.1</v>
      </c>
      <c r="W156" s="7">
        <f>86968.74+148140.4</f>
        <v>235109.14</v>
      </c>
      <c r="X156" s="7">
        <v>96769.54</v>
      </c>
      <c r="Y156" s="7">
        <v>170712.69</v>
      </c>
      <c r="Z156" s="12">
        <v>4093.57</v>
      </c>
      <c r="AA156" s="7">
        <f t="shared" si="23"/>
        <v>-147764.06</v>
      </c>
    </row>
    <row r="157" spans="1:27" s="10" customFormat="1" ht="12.75">
      <c r="A157" s="7">
        <f t="shared" si="24"/>
        <v>72</v>
      </c>
      <c r="B157" s="7" t="s">
        <v>51</v>
      </c>
      <c r="C157" s="7">
        <v>28223.31</v>
      </c>
      <c r="D157" s="7">
        <v>1618.78</v>
      </c>
      <c r="E157" s="7">
        <v>27100.91</v>
      </c>
      <c r="F157" s="7">
        <v>1536.73</v>
      </c>
      <c r="G157" s="7">
        <v>0</v>
      </c>
      <c r="H157" s="7">
        <f t="shared" si="19"/>
        <v>28637.64</v>
      </c>
      <c r="I157" s="12">
        <v>30056.85</v>
      </c>
      <c r="J157" s="12">
        <v>849.6</v>
      </c>
      <c r="K157" s="12">
        <v>29963.66</v>
      </c>
      <c r="L157" s="12">
        <v>918.04</v>
      </c>
      <c r="M157" s="7"/>
      <c r="N157" s="7">
        <f t="shared" si="21"/>
        <v>30881.7</v>
      </c>
      <c r="O157" s="7">
        <v>36221.3</v>
      </c>
      <c r="P157" s="7">
        <v>35481.17</v>
      </c>
      <c r="Q157" s="7">
        <v>19647</v>
      </c>
      <c r="R157" s="7">
        <f t="shared" si="20"/>
        <v>15834.169999999998</v>
      </c>
      <c r="S157" s="12">
        <v>37499.99</v>
      </c>
      <c r="T157" s="12">
        <v>37784.45</v>
      </c>
      <c r="U157" s="7">
        <v>28071</v>
      </c>
      <c r="V157" s="7">
        <f t="shared" si="22"/>
        <v>9713.449999999997</v>
      </c>
      <c r="W157" s="7">
        <v>22987.88</v>
      </c>
      <c r="X157" s="7">
        <v>18615.68</v>
      </c>
      <c r="Y157" s="7"/>
      <c r="Z157" s="12">
        <v>2052.7</v>
      </c>
      <c r="AA157" s="7">
        <f t="shared" si="23"/>
        <v>45516.099999999984</v>
      </c>
    </row>
    <row r="158" spans="1:27" s="10" customFormat="1" ht="12.75">
      <c r="A158" s="7">
        <f t="shared" si="24"/>
        <v>73</v>
      </c>
      <c r="B158" s="7" t="s">
        <v>52</v>
      </c>
      <c r="C158" s="7">
        <v>7908.54</v>
      </c>
      <c r="D158" s="7">
        <v>2949.36</v>
      </c>
      <c r="E158" s="7">
        <v>7407.51</v>
      </c>
      <c r="F158" s="7">
        <v>2742.03</v>
      </c>
      <c r="G158" s="7">
        <v>0</v>
      </c>
      <c r="H158" s="7">
        <f t="shared" si="19"/>
        <v>10149.54</v>
      </c>
      <c r="I158" s="12">
        <v>9940.65</v>
      </c>
      <c r="J158" s="12">
        <v>1285.5</v>
      </c>
      <c r="K158" s="12">
        <v>8916.04</v>
      </c>
      <c r="L158" s="12">
        <v>1625.32</v>
      </c>
      <c r="M158" s="7"/>
      <c r="N158" s="7">
        <f t="shared" si="21"/>
        <v>10541.36</v>
      </c>
      <c r="O158" s="7">
        <v>13178.88</v>
      </c>
      <c r="P158" s="7">
        <v>12487.96</v>
      </c>
      <c r="Q158" s="7">
        <v>112996</v>
      </c>
      <c r="R158" s="7">
        <f t="shared" si="20"/>
        <v>-100508.04000000001</v>
      </c>
      <c r="S158" s="12">
        <v>13621.24</v>
      </c>
      <c r="T158" s="12">
        <v>12826.74</v>
      </c>
      <c r="U158" s="7">
        <v>0</v>
      </c>
      <c r="V158" s="7">
        <f t="shared" si="22"/>
        <v>12826.74</v>
      </c>
      <c r="W158" s="7">
        <v>8359.23</v>
      </c>
      <c r="X158" s="7">
        <f>519.2+4757.76</f>
        <v>5276.96</v>
      </c>
      <c r="Y158" s="7"/>
      <c r="Z158" s="12">
        <v>1472.55</v>
      </c>
      <c r="AA158" s="7">
        <f t="shared" si="23"/>
        <v>-79154.04000000001</v>
      </c>
    </row>
    <row r="159" spans="1:27" s="10" customFormat="1" ht="12.75">
      <c r="A159" s="7">
        <f t="shared" si="24"/>
        <v>74</v>
      </c>
      <c r="B159" s="7" t="s">
        <v>53</v>
      </c>
      <c r="C159" s="7">
        <v>10506.36</v>
      </c>
      <c r="D159" s="7">
        <v>0</v>
      </c>
      <c r="E159" s="7">
        <v>10426.06</v>
      </c>
      <c r="F159" s="7">
        <v>0</v>
      </c>
      <c r="G159" s="7">
        <v>0</v>
      </c>
      <c r="H159" s="7">
        <f t="shared" si="19"/>
        <v>10426.06</v>
      </c>
      <c r="I159" s="12">
        <v>10868.4</v>
      </c>
      <c r="J159" s="7"/>
      <c r="K159" s="12">
        <v>11248.82</v>
      </c>
      <c r="L159" s="7"/>
      <c r="M159" s="7"/>
      <c r="N159" s="7">
        <f t="shared" si="21"/>
        <v>11248.82</v>
      </c>
      <c r="O159" s="7">
        <v>12752.16</v>
      </c>
      <c r="P159" s="7">
        <v>12454.54</v>
      </c>
      <c r="Q159" s="7">
        <v>126850</v>
      </c>
      <c r="R159" s="7">
        <f t="shared" si="20"/>
        <v>-114395.45999999999</v>
      </c>
      <c r="S159" s="12">
        <v>13186.92</v>
      </c>
      <c r="T159" s="12">
        <v>13649.26</v>
      </c>
      <c r="U159" s="7">
        <v>8312</v>
      </c>
      <c r="V159" s="7">
        <f t="shared" si="22"/>
        <v>5337.26</v>
      </c>
      <c r="W159" s="7">
        <v>8359.23</v>
      </c>
      <c r="X159" s="7">
        <f>483.8+4757.76</f>
        <v>5241.56</v>
      </c>
      <c r="Y159" s="7"/>
      <c r="Z159" s="12">
        <v>1771.79</v>
      </c>
      <c r="AA159" s="7">
        <f t="shared" si="23"/>
        <v>-99212.31999999999</v>
      </c>
    </row>
    <row r="160" spans="1:27" s="10" customFormat="1" ht="12.75">
      <c r="A160" s="7">
        <f t="shared" si="24"/>
        <v>75</v>
      </c>
      <c r="B160" s="7" t="s">
        <v>54</v>
      </c>
      <c r="C160" s="7">
        <v>10509.24</v>
      </c>
      <c r="D160" s="7">
        <v>0</v>
      </c>
      <c r="E160" s="7">
        <v>10524.55</v>
      </c>
      <c r="F160" s="7">
        <v>0</v>
      </c>
      <c r="G160" s="7">
        <v>0</v>
      </c>
      <c r="H160" s="7">
        <f t="shared" si="19"/>
        <v>10524.55</v>
      </c>
      <c r="I160" s="12">
        <v>10723.17</v>
      </c>
      <c r="J160" s="7"/>
      <c r="K160" s="12">
        <v>10398.22</v>
      </c>
      <c r="L160" s="7"/>
      <c r="M160" s="7"/>
      <c r="N160" s="7">
        <f t="shared" si="21"/>
        <v>10398.22</v>
      </c>
      <c r="O160" s="7">
        <v>13086</v>
      </c>
      <c r="P160" s="7">
        <v>13768.82</v>
      </c>
      <c r="Q160" s="7">
        <v>7087</v>
      </c>
      <c r="R160" s="7">
        <f t="shared" si="20"/>
        <v>6681.82</v>
      </c>
      <c r="S160" s="12">
        <v>13437.51</v>
      </c>
      <c r="T160" s="12">
        <v>12887.96</v>
      </c>
      <c r="U160" s="7">
        <v>10891</v>
      </c>
      <c r="V160" s="7">
        <f t="shared" si="22"/>
        <v>1996.9599999999991</v>
      </c>
      <c r="W160" s="7">
        <v>8359.23</v>
      </c>
      <c r="X160" s="7">
        <f>297.36+4757.76</f>
        <v>5055.12</v>
      </c>
      <c r="Y160" s="7"/>
      <c r="Z160" s="12">
        <v>629.58</v>
      </c>
      <c r="AA160" s="7">
        <f t="shared" si="23"/>
        <v>16816.78</v>
      </c>
    </row>
    <row r="161" spans="1:27" s="10" customFormat="1" ht="12.75">
      <c r="A161" s="7">
        <f t="shared" si="24"/>
        <v>76</v>
      </c>
      <c r="B161" s="7" t="s">
        <v>55</v>
      </c>
      <c r="C161" s="7">
        <v>8714.31</v>
      </c>
      <c r="D161" s="7">
        <v>1929.08</v>
      </c>
      <c r="E161" s="7">
        <v>8644.98</v>
      </c>
      <c r="F161" s="7">
        <v>1911.05</v>
      </c>
      <c r="G161" s="7">
        <v>0</v>
      </c>
      <c r="H161" s="7">
        <f t="shared" si="19"/>
        <v>10556.029999999999</v>
      </c>
      <c r="I161" s="12">
        <v>9545.55</v>
      </c>
      <c r="J161" s="12">
        <v>1522.8</v>
      </c>
      <c r="K161" s="12">
        <v>9254.71</v>
      </c>
      <c r="L161" s="12">
        <v>1455.57</v>
      </c>
      <c r="M161" s="7"/>
      <c r="N161" s="7">
        <f t="shared" si="21"/>
        <v>10710.279999999999</v>
      </c>
      <c r="O161" s="7">
        <v>12918.41</v>
      </c>
      <c r="P161" s="7">
        <v>13039.99</v>
      </c>
      <c r="Q161" s="7">
        <v>10022</v>
      </c>
      <c r="R161" s="7">
        <f t="shared" si="20"/>
        <v>3017.99</v>
      </c>
      <c r="S161" s="12">
        <v>13429.55</v>
      </c>
      <c r="T161" s="12">
        <v>12753.78</v>
      </c>
      <c r="U161" s="7">
        <v>41007</v>
      </c>
      <c r="V161" s="7">
        <f t="shared" si="22"/>
        <v>-28253.22</v>
      </c>
      <c r="W161" s="7">
        <v>9752.43</v>
      </c>
      <c r="X161" s="7">
        <f>859.04+5550.72</f>
        <v>6409.76</v>
      </c>
      <c r="Y161" s="7"/>
      <c r="Z161" s="12">
        <v>1136.29</v>
      </c>
      <c r="AA161" s="7">
        <f t="shared" si="23"/>
        <v>-18994.820000000007</v>
      </c>
    </row>
    <row r="162" spans="1:27" s="10" customFormat="1" ht="12.75">
      <c r="A162" s="7">
        <f t="shared" si="24"/>
        <v>77</v>
      </c>
      <c r="B162" s="7" t="s">
        <v>56</v>
      </c>
      <c r="C162" s="7">
        <v>13347.72</v>
      </c>
      <c r="D162" s="7">
        <v>356.76</v>
      </c>
      <c r="E162" s="7">
        <v>11793.89</v>
      </c>
      <c r="F162" s="7">
        <v>327.03</v>
      </c>
      <c r="G162" s="7">
        <v>16345</v>
      </c>
      <c r="H162" s="7">
        <f t="shared" si="19"/>
        <v>-4224.08</v>
      </c>
      <c r="I162" s="12">
        <v>13617.12</v>
      </c>
      <c r="J162" s="12">
        <v>369</v>
      </c>
      <c r="K162" s="12">
        <v>17696.81</v>
      </c>
      <c r="L162" s="12">
        <v>453.3</v>
      </c>
      <c r="M162" s="7"/>
      <c r="N162" s="7">
        <f t="shared" si="21"/>
        <v>18150.11</v>
      </c>
      <c r="O162" s="7">
        <v>16634.04</v>
      </c>
      <c r="P162" s="7">
        <v>15877.79</v>
      </c>
      <c r="Q162" s="7">
        <v>3656</v>
      </c>
      <c r="R162" s="7">
        <f t="shared" si="20"/>
        <v>12221.79</v>
      </c>
      <c r="S162" s="12">
        <v>17202.43</v>
      </c>
      <c r="T162" s="12">
        <v>14919.08</v>
      </c>
      <c r="U162" s="7">
        <v>8754</v>
      </c>
      <c r="V162" s="7">
        <f t="shared" si="22"/>
        <v>6165.08</v>
      </c>
      <c r="W162" s="7">
        <v>12538.84</v>
      </c>
      <c r="X162" s="7">
        <f>1151.68+7136.64</f>
        <v>8288.32</v>
      </c>
      <c r="Y162" s="7"/>
      <c r="Z162" s="12">
        <v>3850.42</v>
      </c>
      <c r="AA162" s="7">
        <f t="shared" si="23"/>
        <v>15336.160000000002</v>
      </c>
    </row>
    <row r="163" spans="1:27" s="10" customFormat="1" ht="12.75">
      <c r="A163" s="7">
        <f t="shared" si="24"/>
        <v>78</v>
      </c>
      <c r="B163" s="7" t="s">
        <v>57</v>
      </c>
      <c r="C163" s="7">
        <v>9214.44</v>
      </c>
      <c r="D163" s="7">
        <v>1637.4</v>
      </c>
      <c r="E163" s="7">
        <v>8971.81</v>
      </c>
      <c r="F163" s="7">
        <v>1412.46</v>
      </c>
      <c r="G163" s="7">
        <v>0</v>
      </c>
      <c r="H163" s="7">
        <f t="shared" si="19"/>
        <v>10384.27</v>
      </c>
      <c r="I163" s="12">
        <v>9550.8</v>
      </c>
      <c r="J163" s="12">
        <v>1693.8</v>
      </c>
      <c r="K163" s="12">
        <v>9611.31</v>
      </c>
      <c r="L163" s="12">
        <v>1693.8</v>
      </c>
      <c r="M163" s="7"/>
      <c r="N163" s="7">
        <f t="shared" si="21"/>
        <v>11305.109999999999</v>
      </c>
      <c r="O163" s="7">
        <v>13171.32</v>
      </c>
      <c r="P163" s="7">
        <v>12862.91</v>
      </c>
      <c r="Q163" s="7">
        <v>16347</v>
      </c>
      <c r="R163" s="7">
        <f t="shared" si="20"/>
        <v>-3484.09</v>
      </c>
      <c r="S163" s="12">
        <v>13643.4</v>
      </c>
      <c r="T163" s="12">
        <v>13712.09</v>
      </c>
      <c r="U163" s="7">
        <v>359452</v>
      </c>
      <c r="V163" s="7">
        <f t="shared" si="22"/>
        <v>-345739.91</v>
      </c>
      <c r="W163" s="7">
        <v>8359.23</v>
      </c>
      <c r="X163" s="7">
        <f>408.28+4757.76</f>
        <v>5166.04</v>
      </c>
      <c r="Y163" s="7"/>
      <c r="Z163" s="12">
        <v>829.23</v>
      </c>
      <c r="AA163" s="7">
        <f t="shared" si="23"/>
        <v>-340230.66</v>
      </c>
    </row>
    <row r="164" spans="1:27" s="10" customFormat="1" ht="12.75">
      <c r="A164" s="7">
        <f t="shared" si="24"/>
        <v>79</v>
      </c>
      <c r="B164" s="7" t="s">
        <v>58</v>
      </c>
      <c r="C164" s="7">
        <v>15702.22</v>
      </c>
      <c r="D164" s="7">
        <v>3887.28</v>
      </c>
      <c r="E164" s="7">
        <v>14891.1</v>
      </c>
      <c r="F164" s="7">
        <v>3956.93</v>
      </c>
      <c r="G164" s="7">
        <v>0</v>
      </c>
      <c r="H164" s="7">
        <f t="shared" si="19"/>
        <v>18848.03</v>
      </c>
      <c r="I164" s="12">
        <v>16243.2</v>
      </c>
      <c r="J164" s="12">
        <v>4023</v>
      </c>
      <c r="K164" s="12">
        <v>17024.09</v>
      </c>
      <c r="L164" s="12">
        <v>3789.04</v>
      </c>
      <c r="M164" s="7"/>
      <c r="N164" s="7">
        <f t="shared" si="21"/>
        <v>20813.13</v>
      </c>
      <c r="O164" s="7">
        <v>23776.92</v>
      </c>
      <c r="P164" s="7">
        <v>22286.72</v>
      </c>
      <c r="Q164" s="7">
        <v>5577</v>
      </c>
      <c r="R164" s="7">
        <f t="shared" si="20"/>
        <v>16709.72</v>
      </c>
      <c r="S164" s="12">
        <v>24589.72</v>
      </c>
      <c r="T164" s="12">
        <v>25902.33</v>
      </c>
      <c r="U164" s="7">
        <v>27961</v>
      </c>
      <c r="V164" s="7">
        <f t="shared" si="22"/>
        <v>-2058.6699999999983</v>
      </c>
      <c r="W164" s="7">
        <v>9752.43</v>
      </c>
      <c r="X164" s="7">
        <f>906.24+5550.72</f>
        <v>6456.96</v>
      </c>
      <c r="Y164" s="7"/>
      <c r="Z164" s="12">
        <v>1254.01</v>
      </c>
      <c r="AA164" s="7">
        <f t="shared" si="23"/>
        <v>39356.83000000001</v>
      </c>
    </row>
    <row r="165" spans="1:27" s="10" customFormat="1" ht="12.75">
      <c r="A165" s="7">
        <f t="shared" si="24"/>
        <v>80</v>
      </c>
      <c r="B165" s="7" t="s">
        <v>59</v>
      </c>
      <c r="C165" s="7">
        <v>100591.79</v>
      </c>
      <c r="D165" s="7">
        <v>13225.81</v>
      </c>
      <c r="E165" s="7">
        <v>97453.59</v>
      </c>
      <c r="F165" s="7">
        <v>11805.82</v>
      </c>
      <c r="G165" s="7">
        <v>0</v>
      </c>
      <c r="H165" s="7">
        <f t="shared" si="19"/>
        <v>109259.41</v>
      </c>
      <c r="I165" s="12">
        <v>106634.34</v>
      </c>
      <c r="J165" s="12">
        <v>11124.15</v>
      </c>
      <c r="K165" s="12">
        <v>105138.39</v>
      </c>
      <c r="L165" s="12">
        <v>11456.04</v>
      </c>
      <c r="M165" s="7">
        <v>199975</v>
      </c>
      <c r="N165" s="7">
        <f t="shared" si="21"/>
        <v>-83380.57</v>
      </c>
      <c r="O165" s="7">
        <v>138147.92</v>
      </c>
      <c r="P165" s="7">
        <v>130566.83</v>
      </c>
      <c r="Q165" s="7">
        <v>45095</v>
      </c>
      <c r="R165" s="7">
        <f t="shared" si="20"/>
        <v>85471.83</v>
      </c>
      <c r="S165" s="12">
        <v>142880.45</v>
      </c>
      <c r="T165" s="12">
        <v>139967.14</v>
      </c>
      <c r="U165" s="7">
        <v>140972</v>
      </c>
      <c r="V165" s="7">
        <f t="shared" si="22"/>
        <v>-1004.859999999986</v>
      </c>
      <c r="W165" s="7">
        <f>18442.76+8756.98+2427.36+2150+12642.04</f>
        <v>44419.14</v>
      </c>
      <c r="X165" s="7">
        <f>25306.28+17900.6+8932.6</f>
        <v>52139.479999999996</v>
      </c>
      <c r="Y165" s="7"/>
      <c r="Z165" s="12">
        <v>15516.37</v>
      </c>
      <c r="AA165" s="7">
        <f t="shared" si="23"/>
        <v>29303.56000000002</v>
      </c>
    </row>
    <row r="166" spans="1:27" s="10" customFormat="1" ht="12.75">
      <c r="A166" s="7">
        <f t="shared" si="24"/>
        <v>81</v>
      </c>
      <c r="B166" s="7" t="s">
        <v>60</v>
      </c>
      <c r="C166" s="7">
        <v>58117.56</v>
      </c>
      <c r="D166" s="7">
        <v>5515.7</v>
      </c>
      <c r="E166" s="7">
        <v>57055.31</v>
      </c>
      <c r="F166" s="7">
        <v>3775.19</v>
      </c>
      <c r="G166" s="7">
        <v>0</v>
      </c>
      <c r="H166" s="7">
        <f t="shared" si="19"/>
        <v>60830.5</v>
      </c>
      <c r="I166" s="12">
        <v>61221.72</v>
      </c>
      <c r="J166" s="12">
        <v>4633.2</v>
      </c>
      <c r="K166" s="12">
        <v>67225.95</v>
      </c>
      <c r="L166" s="12">
        <v>4821.86</v>
      </c>
      <c r="M166" s="7"/>
      <c r="N166" s="7">
        <f t="shared" si="21"/>
        <v>72047.81</v>
      </c>
      <c r="O166" s="7">
        <v>77235.18</v>
      </c>
      <c r="P166" s="7">
        <v>75615.61</v>
      </c>
      <c r="Q166" s="7">
        <v>190851</v>
      </c>
      <c r="R166" s="7">
        <f t="shared" si="20"/>
        <v>-115235.39</v>
      </c>
      <c r="S166" s="12">
        <v>79903.92</v>
      </c>
      <c r="T166" s="12">
        <v>86531.09</v>
      </c>
      <c r="U166" s="7">
        <v>81542</v>
      </c>
      <c r="V166" s="7">
        <f t="shared" si="22"/>
        <v>4989.0899999999965</v>
      </c>
      <c r="W166" s="7">
        <f>20207.92+4622.52</f>
        <v>24830.44</v>
      </c>
      <c r="X166" s="7">
        <v>25606</v>
      </c>
      <c r="Y166" s="7"/>
      <c r="Z166" s="12">
        <v>7904.35</v>
      </c>
      <c r="AA166" s="7">
        <f t="shared" si="23"/>
        <v>-19900.08</v>
      </c>
    </row>
    <row r="167" spans="1:27" s="10" customFormat="1" ht="12.75">
      <c r="A167" s="7">
        <f t="shared" si="24"/>
        <v>82</v>
      </c>
      <c r="B167" s="7" t="s">
        <v>61</v>
      </c>
      <c r="C167" s="7">
        <v>50589.44</v>
      </c>
      <c r="D167" s="7">
        <v>13820.26</v>
      </c>
      <c r="E167" s="7">
        <v>47027.52</v>
      </c>
      <c r="F167" s="7">
        <v>13240.86</v>
      </c>
      <c r="G167" s="7">
        <v>0</v>
      </c>
      <c r="H167" s="7">
        <f t="shared" si="19"/>
        <v>60268.38</v>
      </c>
      <c r="I167" s="12">
        <v>54352.35</v>
      </c>
      <c r="J167" s="12">
        <v>12287.7</v>
      </c>
      <c r="K167" s="12">
        <v>50874.2</v>
      </c>
      <c r="L167" s="12">
        <v>11016.89</v>
      </c>
      <c r="M167" s="7">
        <v>299623</v>
      </c>
      <c r="N167" s="7">
        <f t="shared" si="21"/>
        <v>-237731.91</v>
      </c>
      <c r="O167" s="7">
        <v>78177.58</v>
      </c>
      <c r="P167" s="7">
        <v>72379.38</v>
      </c>
      <c r="Q167" s="7">
        <v>165985</v>
      </c>
      <c r="R167" s="7">
        <f t="shared" si="20"/>
        <v>-93605.62</v>
      </c>
      <c r="S167" s="12">
        <v>80856.72</v>
      </c>
      <c r="T167" s="12">
        <v>81660.34</v>
      </c>
      <c r="U167" s="7">
        <v>48516</v>
      </c>
      <c r="V167" s="7">
        <f t="shared" si="22"/>
        <v>33144.34</v>
      </c>
      <c r="W167" s="7">
        <f>13904.1+4429.02</f>
        <v>18333.120000000003</v>
      </c>
      <c r="X167" s="7">
        <v>14006.6</v>
      </c>
      <c r="Y167" s="7"/>
      <c r="Z167" s="12">
        <v>3816.96</v>
      </c>
      <c r="AA167" s="7">
        <f t="shared" si="23"/>
        <v>-266447.57</v>
      </c>
    </row>
    <row r="168" spans="1:27" s="10" customFormat="1" ht="12.75">
      <c r="A168" s="7">
        <f t="shared" si="24"/>
        <v>83</v>
      </c>
      <c r="B168" s="7" t="s">
        <v>62</v>
      </c>
      <c r="C168" s="7">
        <v>82968.67</v>
      </c>
      <c r="D168" s="7">
        <v>6002.22</v>
      </c>
      <c r="E168" s="7">
        <v>80526.61</v>
      </c>
      <c r="F168" s="7">
        <v>4956.07</v>
      </c>
      <c r="G168" s="7">
        <v>0</v>
      </c>
      <c r="H168" s="7">
        <f t="shared" si="19"/>
        <v>85482.68</v>
      </c>
      <c r="I168" s="12">
        <v>86774.4</v>
      </c>
      <c r="J168" s="12">
        <v>5247</v>
      </c>
      <c r="K168" s="12">
        <v>84397.32</v>
      </c>
      <c r="L168" s="12">
        <v>6325.13</v>
      </c>
      <c r="M168" s="7">
        <v>279121</v>
      </c>
      <c r="N168" s="7">
        <f t="shared" si="21"/>
        <v>-188398.55</v>
      </c>
      <c r="O168" s="7">
        <v>107989.65</v>
      </c>
      <c r="P168" s="7">
        <v>102734.29</v>
      </c>
      <c r="Q168" s="7">
        <v>85920</v>
      </c>
      <c r="R168" s="7">
        <f t="shared" si="20"/>
        <v>16814.289999999994</v>
      </c>
      <c r="S168" s="12">
        <v>111652.8</v>
      </c>
      <c r="T168" s="12">
        <v>110411.26</v>
      </c>
      <c r="U168" s="7">
        <v>80044</v>
      </c>
      <c r="V168" s="7">
        <f t="shared" si="22"/>
        <v>30367.259999999995</v>
      </c>
      <c r="W168" s="7">
        <f>10393.13+9021.43+3289.51+4515.02+51.6+10775.84+361.2</f>
        <v>38407.729999999996</v>
      </c>
      <c r="X168" s="7">
        <f>24555.8+17593.8</f>
        <v>42149.6</v>
      </c>
      <c r="Y168" s="7"/>
      <c r="Z168" s="12">
        <v>12454.99</v>
      </c>
      <c r="AA168" s="7">
        <f t="shared" si="23"/>
        <v>-123836.65999999999</v>
      </c>
    </row>
    <row r="169" spans="1:27" s="10" customFormat="1" ht="12.75">
      <c r="A169" s="7">
        <f t="shared" si="24"/>
        <v>84</v>
      </c>
      <c r="B169" s="7" t="s">
        <v>63</v>
      </c>
      <c r="C169" s="7">
        <v>1074.26</v>
      </c>
      <c r="D169" s="7">
        <v>3325.94</v>
      </c>
      <c r="E169" s="7">
        <v>876.24</v>
      </c>
      <c r="F169" s="7">
        <v>2561.76</v>
      </c>
      <c r="G169" s="7">
        <v>0</v>
      </c>
      <c r="H169" s="7">
        <f t="shared" si="19"/>
        <v>3438</v>
      </c>
      <c r="I169" s="12">
        <v>1933.92</v>
      </c>
      <c r="J169" s="12">
        <v>2622.24</v>
      </c>
      <c r="K169" s="12">
        <v>1903.12</v>
      </c>
      <c r="L169" s="12">
        <v>2316.1</v>
      </c>
      <c r="M169" s="7"/>
      <c r="N169" s="7">
        <f t="shared" si="21"/>
        <v>4219.219999999999</v>
      </c>
      <c r="O169" s="7">
        <v>1782.82</v>
      </c>
      <c r="P169" s="7">
        <v>1407.98</v>
      </c>
      <c r="Q169" s="7">
        <v>0</v>
      </c>
      <c r="R169" s="7">
        <f t="shared" si="20"/>
        <v>1407.98</v>
      </c>
      <c r="S169" s="12">
        <v>1860.24</v>
      </c>
      <c r="T169" s="12">
        <v>1910.03</v>
      </c>
      <c r="U169" s="7">
        <v>17339</v>
      </c>
      <c r="V169" s="7">
        <f t="shared" si="22"/>
        <v>-15428.97</v>
      </c>
      <c r="W169" s="7">
        <f>60633.17+120966.3</f>
        <v>181599.47</v>
      </c>
      <c r="X169" s="7">
        <v>142583.6</v>
      </c>
      <c r="Y169" s="7">
        <f>99552.22+151.48</f>
        <v>99703.7</v>
      </c>
      <c r="Z169" s="12">
        <v>3151.47</v>
      </c>
      <c r="AA169" s="7">
        <f t="shared" si="23"/>
        <v>-227691.66999999995</v>
      </c>
    </row>
    <row r="170" spans="1:27" s="10" customFormat="1" ht="12.75">
      <c r="A170" s="7">
        <f t="shared" si="24"/>
        <v>85</v>
      </c>
      <c r="B170" s="7" t="s">
        <v>64</v>
      </c>
      <c r="C170" s="7">
        <v>28793.61</v>
      </c>
      <c r="D170" s="7">
        <v>2346.39</v>
      </c>
      <c r="E170" s="7">
        <v>28496.69</v>
      </c>
      <c r="F170" s="7">
        <v>2175.38</v>
      </c>
      <c r="G170" s="7">
        <v>0</v>
      </c>
      <c r="H170" s="7">
        <f t="shared" si="19"/>
        <v>30672.07</v>
      </c>
      <c r="I170" s="12">
        <v>30428.55</v>
      </c>
      <c r="J170" s="12">
        <v>1782</v>
      </c>
      <c r="K170" s="12">
        <v>30126.38</v>
      </c>
      <c r="L170" s="12">
        <v>2182.64</v>
      </c>
      <c r="M170" s="7"/>
      <c r="N170" s="7">
        <f t="shared" si="21"/>
        <v>32309.02</v>
      </c>
      <c r="O170" s="7">
        <v>37796.04</v>
      </c>
      <c r="P170" s="7">
        <v>37104.29</v>
      </c>
      <c r="Q170" s="7">
        <v>24798</v>
      </c>
      <c r="R170" s="7">
        <f t="shared" si="20"/>
        <v>12306.29</v>
      </c>
      <c r="S170" s="12">
        <v>39082.39</v>
      </c>
      <c r="T170" s="12">
        <v>39312.39</v>
      </c>
      <c r="U170" s="7">
        <v>0</v>
      </c>
      <c r="V170" s="7">
        <f t="shared" si="22"/>
        <v>39312.39</v>
      </c>
      <c r="W170" s="7">
        <v>7254.12</v>
      </c>
      <c r="X170" s="7"/>
      <c r="Y170" s="7"/>
      <c r="Z170" s="12">
        <v>3269.15</v>
      </c>
      <c r="AA170" s="7">
        <f t="shared" si="23"/>
        <v>110614.8</v>
      </c>
    </row>
    <row r="171" spans="1:27" s="10" customFormat="1" ht="12.75">
      <c r="A171" s="7">
        <f t="shared" si="24"/>
        <v>86</v>
      </c>
      <c r="B171" s="7" t="s">
        <v>65</v>
      </c>
      <c r="C171" s="7">
        <v>10907.41</v>
      </c>
      <c r="D171" s="7">
        <v>1939.55</v>
      </c>
      <c r="E171" s="7">
        <v>11170.11</v>
      </c>
      <c r="F171" s="7">
        <v>1980.98</v>
      </c>
      <c r="G171" s="7">
        <v>0</v>
      </c>
      <c r="H171" s="7">
        <f t="shared" si="19"/>
        <v>13151.09</v>
      </c>
      <c r="I171" s="12">
        <v>11964.6</v>
      </c>
      <c r="J171" s="12">
        <v>1324.8</v>
      </c>
      <c r="K171" s="12">
        <v>11902.65</v>
      </c>
      <c r="L171" s="12">
        <v>1395.87</v>
      </c>
      <c r="M171" s="7"/>
      <c r="N171" s="7">
        <f t="shared" si="21"/>
        <v>13298.52</v>
      </c>
      <c r="O171" s="7">
        <v>15593.16</v>
      </c>
      <c r="P171" s="7">
        <v>14954.29</v>
      </c>
      <c r="Q171" s="7">
        <v>156470</v>
      </c>
      <c r="R171" s="7">
        <f t="shared" si="20"/>
        <v>-141515.71</v>
      </c>
      <c r="S171" s="12">
        <v>16124.4</v>
      </c>
      <c r="T171" s="12">
        <v>17190.11</v>
      </c>
      <c r="U171" s="7">
        <v>4744</v>
      </c>
      <c r="V171" s="7">
        <f t="shared" si="22"/>
        <v>12446.11</v>
      </c>
      <c r="W171" s="7">
        <v>731</v>
      </c>
      <c r="X171" s="7">
        <v>3004.28</v>
      </c>
      <c r="Y171" s="7"/>
      <c r="Z171" s="12">
        <v>734.4</v>
      </c>
      <c r="AA171" s="7">
        <f t="shared" si="23"/>
        <v>-105620.87</v>
      </c>
    </row>
    <row r="172" spans="1:27" s="10" customFormat="1" ht="12.75">
      <c r="A172" s="7">
        <f t="shared" si="24"/>
        <v>87</v>
      </c>
      <c r="B172" s="7" t="s">
        <v>66</v>
      </c>
      <c r="C172" s="7">
        <v>16535.76</v>
      </c>
      <c r="D172" s="7">
        <v>2455.2</v>
      </c>
      <c r="E172" s="7">
        <v>16396.81</v>
      </c>
      <c r="F172" s="7">
        <v>2455.2</v>
      </c>
      <c r="G172" s="7">
        <v>0</v>
      </c>
      <c r="H172" s="7">
        <f t="shared" si="19"/>
        <v>18852.010000000002</v>
      </c>
      <c r="I172" s="12">
        <v>17105.4</v>
      </c>
      <c r="J172" s="12">
        <v>2539.8</v>
      </c>
      <c r="K172" s="12">
        <v>17038.68</v>
      </c>
      <c r="L172" s="12">
        <v>2451</v>
      </c>
      <c r="M172" s="7"/>
      <c r="N172" s="7">
        <f t="shared" si="21"/>
        <v>19489.68</v>
      </c>
      <c r="O172" s="7">
        <v>23050.56</v>
      </c>
      <c r="P172" s="7">
        <v>22643.77</v>
      </c>
      <c r="Q172" s="7">
        <v>15256</v>
      </c>
      <c r="R172" s="7">
        <f t="shared" si="20"/>
        <v>7387.77</v>
      </c>
      <c r="S172" s="12">
        <v>23836.08</v>
      </c>
      <c r="T172" s="12">
        <v>23647.53</v>
      </c>
      <c r="U172" s="7">
        <v>6907</v>
      </c>
      <c r="V172" s="7">
        <f t="shared" si="22"/>
        <v>16740.53</v>
      </c>
      <c r="W172" s="7">
        <v>4211.86</v>
      </c>
      <c r="X172" s="7">
        <v>13695.08</v>
      </c>
      <c r="Y172" s="7"/>
      <c r="Z172" s="12">
        <v>3226.13</v>
      </c>
      <c r="AA172" s="7">
        <f t="shared" si="23"/>
        <v>47789.18</v>
      </c>
    </row>
    <row r="173" spans="1:27" s="10" customFormat="1" ht="12.75">
      <c r="A173" s="7">
        <f t="shared" si="24"/>
        <v>88</v>
      </c>
      <c r="B173" s="7" t="s">
        <v>67</v>
      </c>
      <c r="C173" s="7">
        <v>15369.96</v>
      </c>
      <c r="D173" s="7">
        <v>3299.16</v>
      </c>
      <c r="E173" s="7">
        <v>16350.04</v>
      </c>
      <c r="F173" s="7">
        <v>1702.92</v>
      </c>
      <c r="G173" s="7">
        <v>0</v>
      </c>
      <c r="H173" s="7">
        <f t="shared" si="19"/>
        <v>18052.96</v>
      </c>
      <c r="I173" s="12">
        <v>16079.85</v>
      </c>
      <c r="J173" s="12">
        <v>3232.35</v>
      </c>
      <c r="K173" s="12">
        <v>14979.45</v>
      </c>
      <c r="L173" s="12">
        <v>2643.28</v>
      </c>
      <c r="M173" s="7"/>
      <c r="N173" s="7">
        <f t="shared" si="21"/>
        <v>17622.73</v>
      </c>
      <c r="O173" s="7">
        <v>22659.72</v>
      </c>
      <c r="P173" s="7">
        <v>21436.86</v>
      </c>
      <c r="Q173" s="7">
        <v>9879</v>
      </c>
      <c r="R173" s="7">
        <f t="shared" si="20"/>
        <v>11557.86</v>
      </c>
      <c r="S173" s="12">
        <v>23432.04</v>
      </c>
      <c r="T173" s="12">
        <v>20375.5</v>
      </c>
      <c r="U173" s="7">
        <v>8872</v>
      </c>
      <c r="V173" s="7">
        <f t="shared" si="22"/>
        <v>11503.5</v>
      </c>
      <c r="W173" s="7">
        <v>1092.2</v>
      </c>
      <c r="X173" s="7">
        <v>3169.48</v>
      </c>
      <c r="Y173" s="7"/>
      <c r="Z173" s="12">
        <v>463.87</v>
      </c>
      <c r="AA173" s="7">
        <f t="shared" si="23"/>
        <v>54939.240000000005</v>
      </c>
    </row>
    <row r="174" spans="1:27" s="10" customFormat="1" ht="12.75">
      <c r="A174" s="7">
        <f t="shared" si="24"/>
        <v>89</v>
      </c>
      <c r="B174" s="7" t="s">
        <v>68</v>
      </c>
      <c r="C174" s="7">
        <v>30136.56</v>
      </c>
      <c r="D174" s="7">
        <v>1762.68</v>
      </c>
      <c r="E174" s="7">
        <v>29874.01</v>
      </c>
      <c r="F174" s="7">
        <v>1115.4</v>
      </c>
      <c r="G174" s="7">
        <v>0</v>
      </c>
      <c r="H174" s="7">
        <f t="shared" si="19"/>
        <v>30989.41</v>
      </c>
      <c r="I174" s="12">
        <v>31170.6</v>
      </c>
      <c r="J174" s="12">
        <v>1823.4</v>
      </c>
      <c r="K174" s="12">
        <v>30408.8</v>
      </c>
      <c r="L174" s="12">
        <v>1753.8</v>
      </c>
      <c r="M174" s="7"/>
      <c r="N174" s="7">
        <f t="shared" si="21"/>
        <v>32162.6</v>
      </c>
      <c r="O174" s="7">
        <v>38718.09</v>
      </c>
      <c r="P174" s="7">
        <v>38449.48</v>
      </c>
      <c r="Q174" s="7">
        <v>5760</v>
      </c>
      <c r="R174" s="7">
        <f t="shared" si="20"/>
        <v>32689.480000000003</v>
      </c>
      <c r="S174" s="12">
        <v>40032.6</v>
      </c>
      <c r="T174" s="12">
        <v>39928.77</v>
      </c>
      <c r="U174" s="7">
        <v>12329</v>
      </c>
      <c r="V174" s="7">
        <f t="shared" si="22"/>
        <v>27599.769999999997</v>
      </c>
      <c r="W174" s="7">
        <f>3422.81+7110</f>
        <v>10532.81</v>
      </c>
      <c r="X174" s="7">
        <v>9834.12</v>
      </c>
      <c r="Y174" s="7"/>
      <c r="Z174" s="12">
        <v>3764.07</v>
      </c>
      <c r="AA174" s="7">
        <f t="shared" si="23"/>
        <v>106838.4</v>
      </c>
    </row>
    <row r="175" spans="1:27" s="10" customFormat="1" ht="12.75">
      <c r="A175" s="7">
        <f t="shared" si="24"/>
        <v>90</v>
      </c>
      <c r="B175" s="7" t="s">
        <v>69</v>
      </c>
      <c r="C175" s="7">
        <v>3626.4</v>
      </c>
      <c r="D175" s="7">
        <v>0</v>
      </c>
      <c r="E175" s="7">
        <v>3704.55</v>
      </c>
      <c r="F175" s="7">
        <v>0</v>
      </c>
      <c r="G175" s="7">
        <v>0</v>
      </c>
      <c r="H175" s="7">
        <f t="shared" si="19"/>
        <v>3704.55</v>
      </c>
      <c r="I175" s="12">
        <v>1563</v>
      </c>
      <c r="J175" s="7"/>
      <c r="K175" s="12">
        <v>1563</v>
      </c>
      <c r="L175" s="7"/>
      <c r="M175" s="7"/>
      <c r="N175" s="7">
        <f t="shared" si="21"/>
        <v>1563</v>
      </c>
      <c r="O175" s="7">
        <v>4401.36</v>
      </c>
      <c r="P175" s="7">
        <v>4310.37</v>
      </c>
      <c r="Q175" s="7">
        <v>0</v>
      </c>
      <c r="R175" s="7">
        <f t="shared" si="20"/>
        <v>4310.37</v>
      </c>
      <c r="S175" s="12">
        <v>1896.4</v>
      </c>
      <c r="T175" s="12">
        <v>1897.39</v>
      </c>
      <c r="U175" s="7">
        <v>18344</v>
      </c>
      <c r="V175" s="7">
        <f t="shared" si="22"/>
        <v>-16446.61</v>
      </c>
      <c r="W175" s="7">
        <v>2786.41</v>
      </c>
      <c r="X175" s="7">
        <v>12831.32</v>
      </c>
      <c r="Y175" s="7"/>
      <c r="Z175" s="7"/>
      <c r="AA175" s="7">
        <f t="shared" si="23"/>
        <v>-22486.42</v>
      </c>
    </row>
    <row r="176" spans="1:27" s="10" customFormat="1" ht="12.75">
      <c r="A176" s="7">
        <f t="shared" si="24"/>
        <v>91</v>
      </c>
      <c r="B176" s="7" t="s">
        <v>70</v>
      </c>
      <c r="C176" s="11">
        <v>6042.45</v>
      </c>
      <c r="D176" s="7">
        <v>317.55</v>
      </c>
      <c r="E176" s="7">
        <v>5885.42</v>
      </c>
      <c r="F176" s="7">
        <v>317.55</v>
      </c>
      <c r="G176" s="7">
        <v>0</v>
      </c>
      <c r="H176" s="7">
        <f t="shared" si="19"/>
        <v>6202.97</v>
      </c>
      <c r="I176" s="12">
        <v>6579.24</v>
      </c>
      <c r="J176" s="7"/>
      <c r="K176" s="12">
        <v>6420.72</v>
      </c>
      <c r="L176" s="7"/>
      <c r="M176" s="7">
        <v>9483</v>
      </c>
      <c r="N176" s="7">
        <f t="shared" si="21"/>
        <v>-3062.2799999999997</v>
      </c>
      <c r="O176" s="7">
        <v>7719.48</v>
      </c>
      <c r="P176" s="7">
        <v>7233.08</v>
      </c>
      <c r="Q176" s="7">
        <v>14452</v>
      </c>
      <c r="R176" s="7">
        <f t="shared" si="20"/>
        <v>-7218.92</v>
      </c>
      <c r="S176" s="12">
        <v>7982.76</v>
      </c>
      <c r="T176" s="12">
        <v>7899.5</v>
      </c>
      <c r="U176" s="7">
        <v>6989</v>
      </c>
      <c r="V176" s="7">
        <f t="shared" si="22"/>
        <v>910.5</v>
      </c>
      <c r="W176" s="7">
        <v>4179.61</v>
      </c>
      <c r="X176" s="7">
        <v>4672.8</v>
      </c>
      <c r="Y176" s="7"/>
      <c r="Z176" s="12">
        <v>1207.15</v>
      </c>
      <c r="AA176" s="7">
        <f t="shared" si="23"/>
        <v>-10812.99</v>
      </c>
    </row>
    <row r="177" spans="1:27" s="10" customFormat="1" ht="12.75">
      <c r="A177" s="7">
        <f t="shared" si="24"/>
        <v>92</v>
      </c>
      <c r="B177" s="7" t="s">
        <v>71</v>
      </c>
      <c r="C177" s="7">
        <v>4994.04</v>
      </c>
      <c r="D177" s="7">
        <v>1687.8</v>
      </c>
      <c r="E177" s="7">
        <v>3715.75</v>
      </c>
      <c r="F177" s="7">
        <v>1838.38</v>
      </c>
      <c r="G177" s="7">
        <v>0</v>
      </c>
      <c r="H177" s="7">
        <f t="shared" si="19"/>
        <v>5554.13</v>
      </c>
      <c r="I177" s="12">
        <v>5166</v>
      </c>
      <c r="J177" s="12">
        <v>1746</v>
      </c>
      <c r="K177" s="12">
        <v>6309.74</v>
      </c>
      <c r="L177" s="12">
        <v>1675.27</v>
      </c>
      <c r="M177" s="7"/>
      <c r="N177" s="7">
        <f t="shared" si="21"/>
        <v>7985.01</v>
      </c>
      <c r="O177" s="7">
        <v>8110.08</v>
      </c>
      <c r="P177" s="7">
        <v>6307.21</v>
      </c>
      <c r="Q177" s="7">
        <v>0</v>
      </c>
      <c r="R177" s="7">
        <f t="shared" si="20"/>
        <v>6307.21</v>
      </c>
      <c r="S177" s="12">
        <v>8386.44</v>
      </c>
      <c r="T177" s="12">
        <v>9900.7</v>
      </c>
      <c r="U177" s="7">
        <v>12206</v>
      </c>
      <c r="V177" s="7">
        <f t="shared" si="22"/>
        <v>-2305.2999999999993</v>
      </c>
      <c r="W177" s="7">
        <v>4179.61</v>
      </c>
      <c r="X177" s="7">
        <f>424.8+2293.92</f>
        <v>2718.7200000000003</v>
      </c>
      <c r="Y177" s="7"/>
      <c r="Z177" s="12">
        <v>747.84</v>
      </c>
      <c r="AA177" s="7">
        <f t="shared" si="23"/>
        <v>11390.559999999998</v>
      </c>
    </row>
    <row r="178" spans="1:27" s="10" customFormat="1" ht="12.75">
      <c r="A178" s="7">
        <f t="shared" si="24"/>
        <v>93</v>
      </c>
      <c r="B178" s="7" t="s">
        <v>72</v>
      </c>
      <c r="C178" s="7">
        <v>3332.28</v>
      </c>
      <c r="D178" s="7">
        <v>0</v>
      </c>
      <c r="E178" s="7">
        <v>3137.81</v>
      </c>
      <c r="F178" s="7">
        <v>0</v>
      </c>
      <c r="G178" s="7">
        <v>0</v>
      </c>
      <c r="H178" s="7">
        <f t="shared" si="19"/>
        <v>3137.81</v>
      </c>
      <c r="I178" s="12">
        <v>1436.3</v>
      </c>
      <c r="J178" s="7"/>
      <c r="K178" s="12">
        <v>1681.5</v>
      </c>
      <c r="L178" s="7"/>
      <c r="M178" s="7"/>
      <c r="N178" s="7">
        <f t="shared" si="21"/>
        <v>1681.5</v>
      </c>
      <c r="O178" s="7">
        <v>4044.42</v>
      </c>
      <c r="P178" s="7">
        <v>3584.34</v>
      </c>
      <c r="Q178" s="7">
        <v>0</v>
      </c>
      <c r="R178" s="7">
        <f t="shared" si="20"/>
        <v>3584.34</v>
      </c>
      <c r="S178" s="12">
        <v>1742.65</v>
      </c>
      <c r="T178" s="12">
        <v>2294.52</v>
      </c>
      <c r="U178" s="7">
        <v>2664</v>
      </c>
      <c r="V178" s="7">
        <f t="shared" si="22"/>
        <v>-369.48</v>
      </c>
      <c r="W178" s="7">
        <v>1393.21</v>
      </c>
      <c r="X178" s="7">
        <v>906.24</v>
      </c>
      <c r="Y178" s="7"/>
      <c r="Z178" s="7"/>
      <c r="AA178" s="7">
        <f t="shared" si="23"/>
        <v>5734.72</v>
      </c>
    </row>
    <row r="179" spans="1:27" s="10" customFormat="1" ht="12.75">
      <c r="A179" s="7">
        <f t="shared" si="24"/>
        <v>94</v>
      </c>
      <c r="B179" s="7" t="s">
        <v>73</v>
      </c>
      <c r="C179" s="7">
        <v>3033.24</v>
      </c>
      <c r="D179" s="7">
        <v>1769.64</v>
      </c>
      <c r="E179" s="7">
        <v>2973.73</v>
      </c>
      <c r="F179" s="7">
        <v>1349.41</v>
      </c>
      <c r="G179" s="7">
        <v>0</v>
      </c>
      <c r="H179" s="7">
        <f t="shared" si="19"/>
        <v>4323.14</v>
      </c>
      <c r="I179" s="12">
        <v>3137.76</v>
      </c>
      <c r="J179" s="12">
        <v>1830.6</v>
      </c>
      <c r="K179" s="12">
        <v>3137.76</v>
      </c>
      <c r="L179" s="12">
        <v>1315.44</v>
      </c>
      <c r="M179" s="7">
        <v>59560</v>
      </c>
      <c r="N179" s="7">
        <f t="shared" si="21"/>
        <v>-55106.8</v>
      </c>
      <c r="O179" s="7">
        <v>6721.44</v>
      </c>
      <c r="P179" s="7">
        <v>6070.75</v>
      </c>
      <c r="Q179" s="7">
        <v>10711</v>
      </c>
      <c r="R179" s="7">
        <f t="shared" si="20"/>
        <v>-4640.25</v>
      </c>
      <c r="S179" s="12">
        <v>6963</v>
      </c>
      <c r="T179" s="12">
        <v>6220.35</v>
      </c>
      <c r="U179" s="7">
        <v>2876</v>
      </c>
      <c r="V179" s="7">
        <f t="shared" si="22"/>
        <v>3344.3500000000004</v>
      </c>
      <c r="W179" s="7">
        <v>2089.81</v>
      </c>
      <c r="X179" s="7">
        <f>844.88+245.44+243.08</f>
        <v>1333.3999999999999</v>
      </c>
      <c r="Y179" s="7"/>
      <c r="Z179" s="12">
        <v>354.03</v>
      </c>
      <c r="AA179" s="7">
        <f t="shared" si="23"/>
        <v>-55148.740000000005</v>
      </c>
    </row>
    <row r="180" spans="1:27" s="10" customFormat="1" ht="12.75">
      <c r="A180" s="7">
        <f t="shared" si="24"/>
        <v>95</v>
      </c>
      <c r="B180" s="7" t="s">
        <v>74</v>
      </c>
      <c r="C180" s="7">
        <v>3264.12</v>
      </c>
      <c r="D180" s="7">
        <v>1437.96</v>
      </c>
      <c r="E180" s="11">
        <v>3038.84</v>
      </c>
      <c r="F180" s="7">
        <v>1458.55</v>
      </c>
      <c r="G180" s="7">
        <v>0</v>
      </c>
      <c r="H180" s="7">
        <f t="shared" si="19"/>
        <v>4497.39</v>
      </c>
      <c r="I180" s="12">
        <v>3376.8</v>
      </c>
      <c r="J180" s="12">
        <v>1487.52</v>
      </c>
      <c r="K180" s="12">
        <v>3519.84</v>
      </c>
      <c r="L180" s="12">
        <v>1421.56</v>
      </c>
      <c r="M180" s="7"/>
      <c r="N180" s="7">
        <f t="shared" si="21"/>
        <v>4941.4</v>
      </c>
      <c r="O180" s="7">
        <v>6769.56</v>
      </c>
      <c r="P180" s="7">
        <v>5869.95</v>
      </c>
      <c r="Q180" s="7">
        <v>0</v>
      </c>
      <c r="R180" s="7">
        <f t="shared" si="20"/>
        <v>5869.95</v>
      </c>
      <c r="S180" s="12">
        <v>7012.8</v>
      </c>
      <c r="T180" s="12">
        <v>7124.85</v>
      </c>
      <c r="U180" s="7">
        <v>1728</v>
      </c>
      <c r="V180" s="7">
        <f t="shared" si="22"/>
        <v>5396.85</v>
      </c>
      <c r="W180" s="7">
        <v>2089.81</v>
      </c>
      <c r="X180" s="7">
        <f>1014.8+316.24</f>
        <v>1331.04</v>
      </c>
      <c r="Y180" s="7"/>
      <c r="Z180" s="12">
        <v>357.33</v>
      </c>
      <c r="AA180" s="7">
        <f t="shared" si="23"/>
        <v>17642.070000000003</v>
      </c>
    </row>
    <row r="181" spans="1:27" s="10" customFormat="1" ht="12.75">
      <c r="A181" s="7">
        <f t="shared" si="24"/>
        <v>96</v>
      </c>
      <c r="B181" s="7" t="s">
        <v>75</v>
      </c>
      <c r="C181" s="7">
        <v>3462</v>
      </c>
      <c r="D181" s="7">
        <v>1074.6</v>
      </c>
      <c r="E181" s="7">
        <v>3000.16</v>
      </c>
      <c r="F181" s="7">
        <v>44.89</v>
      </c>
      <c r="G181" s="7">
        <v>0</v>
      </c>
      <c r="H181" s="7">
        <f t="shared" si="19"/>
        <v>3045.0499999999997</v>
      </c>
      <c r="I181" s="12">
        <v>3581.28</v>
      </c>
      <c r="J181" s="12">
        <v>1111.68</v>
      </c>
      <c r="K181" s="12">
        <v>3668.14</v>
      </c>
      <c r="L181" s="12">
        <v>146</v>
      </c>
      <c r="M181" s="7"/>
      <c r="N181" s="7">
        <f t="shared" si="21"/>
        <v>3814.14</v>
      </c>
      <c r="O181" s="7">
        <v>6531.36</v>
      </c>
      <c r="P181" s="7">
        <v>4301.93</v>
      </c>
      <c r="Q181" s="7">
        <v>0</v>
      </c>
      <c r="R181" s="7">
        <f t="shared" si="20"/>
        <v>4301.93</v>
      </c>
      <c r="S181" s="12">
        <v>6765.58</v>
      </c>
      <c r="T181" s="12">
        <v>5180.4</v>
      </c>
      <c r="U181" s="7">
        <v>1051</v>
      </c>
      <c r="V181" s="7">
        <f t="shared" si="22"/>
        <v>4129.4</v>
      </c>
      <c r="W181" s="7">
        <v>2089.81</v>
      </c>
      <c r="X181" s="7">
        <f>644.28+316.24</f>
        <v>960.52</v>
      </c>
      <c r="Y181" s="7"/>
      <c r="Z181" s="12">
        <v>137.4</v>
      </c>
      <c r="AA181" s="7">
        <f t="shared" si="23"/>
        <v>12377.589999999998</v>
      </c>
    </row>
    <row r="182" spans="1:27" s="10" customFormat="1" ht="12.75">
      <c r="A182" s="7">
        <f t="shared" si="24"/>
        <v>97</v>
      </c>
      <c r="B182" s="7" t="s">
        <v>76</v>
      </c>
      <c r="C182" s="7">
        <v>2657.28</v>
      </c>
      <c r="D182" s="7">
        <v>1638.36</v>
      </c>
      <c r="E182" s="7">
        <v>2477.89</v>
      </c>
      <c r="F182" s="7">
        <v>1408.46</v>
      </c>
      <c r="G182" s="7">
        <v>0</v>
      </c>
      <c r="H182" s="7">
        <f t="shared" si="19"/>
        <v>3886.35</v>
      </c>
      <c r="I182" s="12">
        <v>2748.84</v>
      </c>
      <c r="J182" s="12">
        <v>1694.88</v>
      </c>
      <c r="K182" s="12">
        <v>2354.81</v>
      </c>
      <c r="L182" s="12">
        <v>1629.05</v>
      </c>
      <c r="M182" s="7"/>
      <c r="N182" s="7">
        <f t="shared" si="21"/>
        <v>3983.8599999999997</v>
      </c>
      <c r="O182" s="7">
        <v>6184.2</v>
      </c>
      <c r="P182" s="7">
        <v>5054.83</v>
      </c>
      <c r="Q182" s="7">
        <v>0</v>
      </c>
      <c r="R182" s="7">
        <f t="shared" si="20"/>
        <v>5054.83</v>
      </c>
      <c r="S182" s="12">
        <v>6406.32</v>
      </c>
      <c r="T182" s="12">
        <v>5732.48</v>
      </c>
      <c r="U182" s="7">
        <v>0</v>
      </c>
      <c r="V182" s="7">
        <f t="shared" si="22"/>
        <v>5732.48</v>
      </c>
      <c r="W182" s="7">
        <v>2089.81</v>
      </c>
      <c r="X182" s="7">
        <f>446.04+316.24</f>
        <v>762.28</v>
      </c>
      <c r="Y182" s="7"/>
      <c r="Z182" s="12">
        <v>100.13</v>
      </c>
      <c r="AA182" s="7">
        <f t="shared" si="23"/>
        <v>15905.559999999994</v>
      </c>
    </row>
    <row r="183" spans="1:27" s="10" customFormat="1" ht="12.75">
      <c r="A183" s="7">
        <f t="shared" si="24"/>
        <v>98</v>
      </c>
      <c r="B183" s="7" t="s">
        <v>77</v>
      </c>
      <c r="C183" s="7">
        <v>3523.8</v>
      </c>
      <c r="D183" s="7">
        <v>1106.64</v>
      </c>
      <c r="E183" s="7">
        <v>3474.83</v>
      </c>
      <c r="F183" s="7">
        <v>705.3</v>
      </c>
      <c r="G183" s="7">
        <v>0</v>
      </c>
      <c r="H183" s="7">
        <f t="shared" si="19"/>
        <v>4180.13</v>
      </c>
      <c r="I183" s="12">
        <v>3634.56</v>
      </c>
      <c r="J183" s="12">
        <v>1144.8</v>
      </c>
      <c r="K183" s="12">
        <v>3633.04</v>
      </c>
      <c r="L183" s="12">
        <v>578.88</v>
      </c>
      <c r="M183" s="7"/>
      <c r="N183" s="7">
        <f t="shared" si="21"/>
        <v>4211.92</v>
      </c>
      <c r="O183" s="7">
        <v>6666.15</v>
      </c>
      <c r="P183" s="7">
        <v>5700.35</v>
      </c>
      <c r="Q183" s="7">
        <v>13814</v>
      </c>
      <c r="R183" s="7">
        <f t="shared" si="20"/>
        <v>-8113.65</v>
      </c>
      <c r="S183" s="12">
        <v>6890.4</v>
      </c>
      <c r="T183" s="12">
        <v>6572.22</v>
      </c>
      <c r="U183" s="7">
        <v>2111</v>
      </c>
      <c r="V183" s="7">
        <f t="shared" si="22"/>
        <v>4461.22</v>
      </c>
      <c r="W183" s="7">
        <v>2089.81</v>
      </c>
      <c r="X183" s="7">
        <f>556.96+316.24</f>
        <v>873.2</v>
      </c>
      <c r="Y183" s="7"/>
      <c r="Z183" s="12">
        <v>208.08</v>
      </c>
      <c r="AA183" s="7">
        <f t="shared" si="23"/>
        <v>1984.6899999999998</v>
      </c>
    </row>
    <row r="184" spans="1:27" s="10" customFormat="1" ht="12.75">
      <c r="A184" s="7">
        <f t="shared" si="24"/>
        <v>99</v>
      </c>
      <c r="B184" s="7" t="s">
        <v>185</v>
      </c>
      <c r="C184" s="7">
        <v>0</v>
      </c>
      <c r="D184" s="7">
        <v>7449.72</v>
      </c>
      <c r="E184" s="7">
        <v>0</v>
      </c>
      <c r="F184" s="7">
        <v>8193.7</v>
      </c>
      <c r="G184" s="7">
        <v>0</v>
      </c>
      <c r="H184" s="7">
        <f t="shared" si="19"/>
        <v>8193.7</v>
      </c>
      <c r="I184" s="12">
        <v>310.2</v>
      </c>
      <c r="J184" s="12">
        <v>7468.5</v>
      </c>
      <c r="K184" s="12">
        <v>282</v>
      </c>
      <c r="L184" s="12">
        <v>5219.98</v>
      </c>
      <c r="M184" s="7"/>
      <c r="N184" s="7">
        <f t="shared" si="21"/>
        <v>5501.98</v>
      </c>
      <c r="O184" s="7">
        <v>2414.84</v>
      </c>
      <c r="P184" s="7">
        <v>2304.76</v>
      </c>
      <c r="Q184" s="7">
        <v>1442</v>
      </c>
      <c r="R184" s="7">
        <f t="shared" si="20"/>
        <v>862.7600000000002</v>
      </c>
      <c r="S184" s="12">
        <v>2541.3</v>
      </c>
      <c r="T184" s="12">
        <v>2674.17</v>
      </c>
      <c r="U184" s="7">
        <v>11500</v>
      </c>
      <c r="V184" s="7">
        <f t="shared" si="22"/>
        <v>-8825.83</v>
      </c>
      <c r="W184" s="7">
        <f>51204.14+21270.06</f>
        <v>72474.2</v>
      </c>
      <c r="X184" s="7">
        <v>76479.42</v>
      </c>
      <c r="Y184" s="7">
        <v>47357.12</v>
      </c>
      <c r="Z184" s="12">
        <v>398.41</v>
      </c>
      <c r="AA184" s="7">
        <f t="shared" si="23"/>
        <v>-95465.48000000001</v>
      </c>
    </row>
    <row r="185" spans="1:27" s="10" customFormat="1" ht="12.75">
      <c r="A185" s="7">
        <f t="shared" si="24"/>
        <v>100</v>
      </c>
      <c r="B185" s="7" t="s">
        <v>186</v>
      </c>
      <c r="C185" s="7">
        <v>0</v>
      </c>
      <c r="D185" s="7">
        <v>10217.82</v>
      </c>
      <c r="E185" s="7">
        <v>0</v>
      </c>
      <c r="F185" s="7">
        <v>10093.89</v>
      </c>
      <c r="G185" s="7">
        <v>0</v>
      </c>
      <c r="H185" s="7">
        <f t="shared" si="19"/>
        <v>10093.89</v>
      </c>
      <c r="I185" s="12">
        <v>551.1</v>
      </c>
      <c r="J185" s="12">
        <v>10006.5</v>
      </c>
      <c r="K185" s="12">
        <v>551.1</v>
      </c>
      <c r="L185" s="12">
        <v>9934.72</v>
      </c>
      <c r="M185" s="7">
        <v>13626</v>
      </c>
      <c r="N185" s="7">
        <f t="shared" si="21"/>
        <v>-3140.1800000000003</v>
      </c>
      <c r="O185" s="7">
        <v>3312.1</v>
      </c>
      <c r="P185" s="7">
        <v>3667.19</v>
      </c>
      <c r="Q185" s="7">
        <v>283</v>
      </c>
      <c r="R185" s="7">
        <f t="shared" si="20"/>
        <v>3384.19</v>
      </c>
      <c r="S185" s="12">
        <v>3448.54</v>
      </c>
      <c r="T185" s="12">
        <v>3227.86</v>
      </c>
      <c r="U185" s="7">
        <v>78364</v>
      </c>
      <c r="V185" s="7">
        <f t="shared" si="22"/>
        <v>-75136.14</v>
      </c>
      <c r="W185" s="7">
        <f>43171.62+21495.06</f>
        <v>64666.68000000001</v>
      </c>
      <c r="X185" s="7">
        <f>8081.73+64617.53</f>
        <v>72699.26</v>
      </c>
      <c r="Y185" s="7">
        <v>48424</v>
      </c>
      <c r="Z185" s="12">
        <v>534.34</v>
      </c>
      <c r="AA185" s="7">
        <f t="shared" si="23"/>
        <v>-153205.84</v>
      </c>
    </row>
    <row r="186" spans="1:27" s="10" customFormat="1" ht="12.75">
      <c r="A186" s="7">
        <f t="shared" si="24"/>
        <v>101</v>
      </c>
      <c r="B186" s="7" t="s">
        <v>78</v>
      </c>
      <c r="C186" s="7">
        <v>24271.66</v>
      </c>
      <c r="D186" s="7">
        <v>6580.63</v>
      </c>
      <c r="E186" s="7">
        <v>22953.45</v>
      </c>
      <c r="F186" s="7">
        <v>5087.16</v>
      </c>
      <c r="G186" s="7">
        <v>0</v>
      </c>
      <c r="H186" s="7">
        <f t="shared" si="19"/>
        <v>28040.61</v>
      </c>
      <c r="I186" s="12">
        <v>27271.41</v>
      </c>
      <c r="J186" s="12">
        <v>4660.56</v>
      </c>
      <c r="K186" s="12">
        <v>25891.23</v>
      </c>
      <c r="L186" s="12">
        <v>6256.23</v>
      </c>
      <c r="M186" s="7"/>
      <c r="N186" s="7">
        <f t="shared" si="21"/>
        <v>32147.46</v>
      </c>
      <c r="O186" s="7">
        <v>37446.56</v>
      </c>
      <c r="P186" s="7">
        <v>32924.1</v>
      </c>
      <c r="Q186" s="7">
        <v>1915</v>
      </c>
      <c r="R186" s="7">
        <f t="shared" si="20"/>
        <v>31009.1</v>
      </c>
      <c r="S186" s="12">
        <v>38744.11</v>
      </c>
      <c r="T186" s="12">
        <v>38756.92</v>
      </c>
      <c r="U186" s="7">
        <v>86057</v>
      </c>
      <c r="V186" s="7">
        <f t="shared" si="22"/>
        <v>-47300.08</v>
      </c>
      <c r="W186" s="7">
        <v>13235.44</v>
      </c>
      <c r="X186" s="7">
        <f>538.08+9465.96</f>
        <v>10004.039999999999</v>
      </c>
      <c r="Y186" s="7"/>
      <c r="Z186" s="12">
        <v>1485.97</v>
      </c>
      <c r="AA186" s="7">
        <f t="shared" si="23"/>
        <v>22143.579999999994</v>
      </c>
    </row>
    <row r="187" spans="1:27" s="10" customFormat="1" ht="12.75">
      <c r="A187" s="7">
        <f t="shared" si="24"/>
        <v>102</v>
      </c>
      <c r="B187" s="7" t="s">
        <v>79</v>
      </c>
      <c r="C187" s="7">
        <v>10040.16</v>
      </c>
      <c r="D187" s="7">
        <v>743.04</v>
      </c>
      <c r="E187" s="7">
        <v>9516.44</v>
      </c>
      <c r="F187" s="7">
        <v>1460.38</v>
      </c>
      <c r="G187" s="7">
        <v>0</v>
      </c>
      <c r="H187" s="7">
        <f t="shared" si="19"/>
        <v>10976.82</v>
      </c>
      <c r="I187" s="12">
        <v>10388.4</v>
      </c>
      <c r="J187" s="12">
        <v>768.6</v>
      </c>
      <c r="K187" s="12">
        <v>10996.96</v>
      </c>
      <c r="L187" s="12">
        <v>954.36</v>
      </c>
      <c r="M187" s="7"/>
      <c r="N187" s="7">
        <f t="shared" si="21"/>
        <v>11951.32</v>
      </c>
      <c r="O187" s="7">
        <v>13088.04</v>
      </c>
      <c r="P187" s="7">
        <v>12174.71</v>
      </c>
      <c r="Q187" s="7">
        <v>251</v>
      </c>
      <c r="R187" s="7">
        <f t="shared" si="20"/>
        <v>11923.71</v>
      </c>
      <c r="S187" s="12">
        <v>13537.12</v>
      </c>
      <c r="T187" s="12">
        <v>15647.63</v>
      </c>
      <c r="U187" s="7">
        <v>3955</v>
      </c>
      <c r="V187" s="7">
        <f t="shared" si="22"/>
        <v>11692.63</v>
      </c>
      <c r="W187" s="7">
        <v>4179.61</v>
      </c>
      <c r="X187" s="7">
        <v>3655.64</v>
      </c>
      <c r="Y187" s="7"/>
      <c r="Z187" s="12">
        <v>1241.59</v>
      </c>
      <c r="AA187" s="7">
        <f t="shared" si="23"/>
        <v>39950.81999999999</v>
      </c>
    </row>
    <row r="188" spans="1:27" s="10" customFormat="1" ht="12.75">
      <c r="A188" s="7">
        <f t="shared" si="24"/>
        <v>103</v>
      </c>
      <c r="B188" s="7" t="s">
        <v>80</v>
      </c>
      <c r="C188" s="7">
        <v>9443.4</v>
      </c>
      <c r="D188" s="7">
        <v>1679.16</v>
      </c>
      <c r="E188" s="7">
        <v>8830.88</v>
      </c>
      <c r="F188" s="7">
        <v>1622.97</v>
      </c>
      <c r="G188" s="7">
        <v>0</v>
      </c>
      <c r="H188" s="7">
        <f t="shared" si="19"/>
        <v>10453.849999999999</v>
      </c>
      <c r="I188" s="12">
        <v>9768.6</v>
      </c>
      <c r="J188" s="12">
        <v>1737</v>
      </c>
      <c r="K188" s="12">
        <v>9248.15</v>
      </c>
      <c r="L188" s="12">
        <v>1650.2</v>
      </c>
      <c r="M188" s="7"/>
      <c r="N188" s="7">
        <f t="shared" si="21"/>
        <v>10898.35</v>
      </c>
      <c r="O188" s="7">
        <v>13500</v>
      </c>
      <c r="P188" s="7">
        <v>12699.99</v>
      </c>
      <c r="Q188" s="7">
        <v>1264</v>
      </c>
      <c r="R188" s="7">
        <f t="shared" si="20"/>
        <v>11435.99</v>
      </c>
      <c r="S188" s="12">
        <v>13960.08</v>
      </c>
      <c r="T188" s="12">
        <v>13029.41</v>
      </c>
      <c r="U188" s="7">
        <v>381</v>
      </c>
      <c r="V188" s="7">
        <f t="shared" si="22"/>
        <v>12648.41</v>
      </c>
      <c r="W188" s="7">
        <v>4179.61</v>
      </c>
      <c r="X188" s="7">
        <f>424.8+3853.88</f>
        <v>4278.68</v>
      </c>
      <c r="Y188" s="7"/>
      <c r="Z188" s="12">
        <v>1418.19</v>
      </c>
      <c r="AA188" s="7">
        <f t="shared" si="23"/>
        <v>38396.49999999999</v>
      </c>
    </row>
    <row r="189" spans="1:27" s="10" customFormat="1" ht="12.75">
      <c r="A189" s="7">
        <f t="shared" si="24"/>
        <v>104</v>
      </c>
      <c r="B189" s="7" t="s">
        <v>81</v>
      </c>
      <c r="C189" s="7">
        <v>9887.12</v>
      </c>
      <c r="D189" s="7">
        <v>1245.84</v>
      </c>
      <c r="E189" s="7">
        <v>9080.45</v>
      </c>
      <c r="F189" s="7">
        <v>1290.79</v>
      </c>
      <c r="G189" s="7">
        <v>0</v>
      </c>
      <c r="H189" s="7">
        <f t="shared" si="19"/>
        <v>10371.240000000002</v>
      </c>
      <c r="I189" s="12">
        <v>10732.65</v>
      </c>
      <c r="J189" s="12">
        <v>777.3</v>
      </c>
      <c r="K189" s="12">
        <v>10937.28</v>
      </c>
      <c r="L189" s="12">
        <v>732.35</v>
      </c>
      <c r="M189" s="7"/>
      <c r="N189" s="7">
        <f t="shared" si="21"/>
        <v>11669.630000000001</v>
      </c>
      <c r="O189" s="7">
        <v>13512.84</v>
      </c>
      <c r="P189" s="7">
        <v>12232</v>
      </c>
      <c r="Q189" s="7">
        <v>2169</v>
      </c>
      <c r="R189" s="7">
        <f t="shared" si="20"/>
        <v>10063</v>
      </c>
      <c r="S189" s="12">
        <v>13965.57</v>
      </c>
      <c r="T189" s="12">
        <v>14277.84</v>
      </c>
      <c r="U189" s="7">
        <v>4720</v>
      </c>
      <c r="V189" s="7">
        <f t="shared" si="22"/>
        <v>9557.84</v>
      </c>
      <c r="W189" s="7">
        <v>4179.61</v>
      </c>
      <c r="X189" s="7">
        <f>424.8+3426.72</f>
        <v>3851.52</v>
      </c>
      <c r="Y189" s="7"/>
      <c r="Z189" s="12">
        <v>1436.98</v>
      </c>
      <c r="AA189" s="7">
        <f t="shared" si="23"/>
        <v>35067.56000000001</v>
      </c>
    </row>
    <row r="190" spans="1:27" s="10" customFormat="1" ht="12.75">
      <c r="A190" s="7">
        <f t="shared" si="24"/>
        <v>105</v>
      </c>
      <c r="B190" s="7" t="s">
        <v>82</v>
      </c>
      <c r="C190" s="7">
        <v>4611.12</v>
      </c>
      <c r="D190" s="7">
        <v>1670.52</v>
      </c>
      <c r="E190" s="7">
        <v>4410.94</v>
      </c>
      <c r="F190" s="7">
        <v>1562.74</v>
      </c>
      <c r="G190" s="7">
        <v>0</v>
      </c>
      <c r="H190" s="7">
        <f t="shared" si="19"/>
        <v>5973.679999999999</v>
      </c>
      <c r="I190" s="12">
        <v>6218.4</v>
      </c>
      <c r="J190" s="12">
        <v>310.5</v>
      </c>
      <c r="K190" s="12">
        <v>6111.74</v>
      </c>
      <c r="L190" s="12">
        <v>310.5</v>
      </c>
      <c r="M190" s="7">
        <v>15102</v>
      </c>
      <c r="N190" s="7">
        <f t="shared" si="21"/>
        <v>-8679.76</v>
      </c>
      <c r="O190" s="7">
        <v>7624.44</v>
      </c>
      <c r="P190" s="7">
        <v>6600.23</v>
      </c>
      <c r="Q190" s="7">
        <v>0</v>
      </c>
      <c r="R190" s="7">
        <f t="shared" si="20"/>
        <v>6600.23</v>
      </c>
      <c r="S190" s="12">
        <v>7921.74</v>
      </c>
      <c r="T190" s="12">
        <v>8174.95</v>
      </c>
      <c r="U190" s="7">
        <v>15695</v>
      </c>
      <c r="V190" s="7">
        <f t="shared" si="22"/>
        <v>-7520.05</v>
      </c>
      <c r="W190" s="7">
        <v>4179.61</v>
      </c>
      <c r="X190" s="7">
        <f>113.28+962.88+632.48</f>
        <v>1708.64</v>
      </c>
      <c r="Y190" s="7"/>
      <c r="Z190" s="12">
        <v>110.53</v>
      </c>
      <c r="AA190" s="7">
        <f t="shared" si="23"/>
        <v>-9403.62</v>
      </c>
    </row>
    <row r="191" spans="1:27" s="10" customFormat="1" ht="12.75">
      <c r="A191" s="7">
        <f t="shared" si="24"/>
        <v>106</v>
      </c>
      <c r="B191" s="7" t="s">
        <v>83</v>
      </c>
      <c r="C191" s="7">
        <v>1352.97</v>
      </c>
      <c r="D191" s="7">
        <v>12200.55</v>
      </c>
      <c r="E191" s="7">
        <v>1698.09</v>
      </c>
      <c r="F191" s="7">
        <v>13490.69</v>
      </c>
      <c r="G191" s="7">
        <v>0</v>
      </c>
      <c r="H191" s="7">
        <f t="shared" si="19"/>
        <v>15188.78</v>
      </c>
      <c r="I191" s="12">
        <v>5004.15</v>
      </c>
      <c r="J191" s="12">
        <v>8897.1</v>
      </c>
      <c r="K191" s="12">
        <v>4917.94</v>
      </c>
      <c r="L191" s="12">
        <v>8163.8</v>
      </c>
      <c r="M191" s="7"/>
      <c r="N191" s="7">
        <f t="shared" si="21"/>
        <v>13081.74</v>
      </c>
      <c r="O191" s="7">
        <v>7389.4</v>
      </c>
      <c r="P191" s="7">
        <v>7817.16</v>
      </c>
      <c r="Q191" s="7">
        <v>9500</v>
      </c>
      <c r="R191" s="7">
        <f t="shared" si="20"/>
        <v>-1682.8400000000001</v>
      </c>
      <c r="S191" s="12">
        <v>7599.56</v>
      </c>
      <c r="T191" s="12">
        <v>7293.4</v>
      </c>
      <c r="U191" s="7">
        <v>0</v>
      </c>
      <c r="V191" s="7">
        <f t="shared" si="22"/>
        <v>7293.4</v>
      </c>
      <c r="W191" s="7">
        <f>7906.52-4663.51+11743.53</f>
        <v>14986.54</v>
      </c>
      <c r="X191" s="7">
        <v>18394.26</v>
      </c>
      <c r="Y191" s="7">
        <v>4640.47</v>
      </c>
      <c r="Z191" s="12">
        <v>1369.5</v>
      </c>
      <c r="AA191" s="7">
        <f t="shared" si="23"/>
        <v>6510.250000000003</v>
      </c>
    </row>
    <row r="192" spans="1:27" s="10" customFormat="1" ht="12.75">
      <c r="A192" s="7">
        <f t="shared" si="24"/>
        <v>107</v>
      </c>
      <c r="B192" s="7" t="s">
        <v>84</v>
      </c>
      <c r="C192" s="7">
        <v>13302.6</v>
      </c>
      <c r="D192" s="7">
        <v>0</v>
      </c>
      <c r="E192" s="7">
        <v>13270.9</v>
      </c>
      <c r="F192" s="7">
        <v>0</v>
      </c>
      <c r="G192" s="7">
        <v>29100</v>
      </c>
      <c r="H192" s="7">
        <f t="shared" si="19"/>
        <v>-15829.1</v>
      </c>
      <c r="I192" s="12">
        <v>13761</v>
      </c>
      <c r="J192" s="7"/>
      <c r="K192" s="12">
        <v>13965.8</v>
      </c>
      <c r="L192" s="7"/>
      <c r="M192" s="7"/>
      <c r="N192" s="7">
        <f t="shared" si="21"/>
        <v>13965.8</v>
      </c>
      <c r="O192" s="7">
        <v>16146.24</v>
      </c>
      <c r="P192" s="7">
        <v>16302.2</v>
      </c>
      <c r="Q192" s="7">
        <v>12652</v>
      </c>
      <c r="R192" s="7">
        <f t="shared" si="20"/>
        <v>3650.2000000000007</v>
      </c>
      <c r="S192" s="12">
        <v>16696.68</v>
      </c>
      <c r="T192" s="12">
        <v>16917.3</v>
      </c>
      <c r="U192" s="7">
        <v>8400</v>
      </c>
      <c r="V192" s="7">
        <f t="shared" si="22"/>
        <v>8517.3</v>
      </c>
      <c r="W192" s="7">
        <v>8359.23</v>
      </c>
      <c r="X192" s="7">
        <f>5404.4+1262.6</f>
        <v>6667</v>
      </c>
      <c r="Y192" s="7"/>
      <c r="Z192" s="12">
        <v>2012.06</v>
      </c>
      <c r="AA192" s="7">
        <f t="shared" si="23"/>
        <v>-2709.9700000000007</v>
      </c>
    </row>
    <row r="193" spans="1:27" s="10" customFormat="1" ht="12.75">
      <c r="A193" s="7">
        <f t="shared" si="24"/>
        <v>108</v>
      </c>
      <c r="B193" s="7" t="s">
        <v>85</v>
      </c>
      <c r="C193" s="7">
        <v>13014.24</v>
      </c>
      <c r="D193" s="7">
        <v>2152.44</v>
      </c>
      <c r="E193" s="7">
        <v>13015.03</v>
      </c>
      <c r="F193" s="7">
        <v>2021.77</v>
      </c>
      <c r="G193" s="7"/>
      <c r="H193" s="7">
        <f t="shared" si="19"/>
        <v>15036.800000000001</v>
      </c>
      <c r="I193" s="12">
        <v>13462.2</v>
      </c>
      <c r="J193" s="12">
        <v>2226.6</v>
      </c>
      <c r="K193" s="12">
        <v>13569.29</v>
      </c>
      <c r="L193" s="12">
        <v>2330.95</v>
      </c>
      <c r="M193" s="7">
        <v>70606</v>
      </c>
      <c r="N193" s="7">
        <f t="shared" si="21"/>
        <v>-54705.759999999995</v>
      </c>
      <c r="O193" s="7">
        <v>18408.36</v>
      </c>
      <c r="P193" s="7">
        <v>17840.97</v>
      </c>
      <c r="Q193" s="7">
        <v>8018</v>
      </c>
      <c r="R193" s="7">
        <f t="shared" si="20"/>
        <v>9822.970000000001</v>
      </c>
      <c r="S193" s="12">
        <v>19035.96</v>
      </c>
      <c r="T193" s="12">
        <v>19447.06</v>
      </c>
      <c r="U193" s="7">
        <v>0</v>
      </c>
      <c r="V193" s="7">
        <f t="shared" si="22"/>
        <v>19447.06</v>
      </c>
      <c r="W193" s="7">
        <v>10449.03</v>
      </c>
      <c r="X193" s="7">
        <f>3742.96+1581.2</f>
        <v>5324.16</v>
      </c>
      <c r="Y193" s="7"/>
      <c r="Z193" s="12">
        <v>1578.52</v>
      </c>
      <c r="AA193" s="7">
        <f t="shared" si="23"/>
        <v>-24593.59999999999</v>
      </c>
    </row>
    <row r="194" spans="1:27" s="10" customFormat="1" ht="12.75">
      <c r="A194" s="7">
        <f t="shared" si="24"/>
        <v>109</v>
      </c>
      <c r="B194" s="7" t="s">
        <v>86</v>
      </c>
      <c r="C194" s="7">
        <v>12940.68</v>
      </c>
      <c r="D194" s="7">
        <v>0</v>
      </c>
      <c r="E194" s="7">
        <v>11394.87</v>
      </c>
      <c r="F194" s="7">
        <v>0</v>
      </c>
      <c r="G194" s="7"/>
      <c r="H194" s="7">
        <f t="shared" si="19"/>
        <v>11394.87</v>
      </c>
      <c r="I194" s="12">
        <v>13386.6</v>
      </c>
      <c r="J194" s="7"/>
      <c r="K194" s="12">
        <v>11252.79</v>
      </c>
      <c r="L194" s="7"/>
      <c r="M194" s="7"/>
      <c r="N194" s="7">
        <f t="shared" si="21"/>
        <v>11252.79</v>
      </c>
      <c r="O194" s="7">
        <v>15706.92</v>
      </c>
      <c r="P194" s="7">
        <v>13381.91</v>
      </c>
      <c r="Q194" s="7">
        <v>1798</v>
      </c>
      <c r="R194" s="7">
        <f t="shared" si="20"/>
        <v>11583.91</v>
      </c>
      <c r="S194" s="12">
        <v>16242.6</v>
      </c>
      <c r="T194" s="12">
        <v>13849.79</v>
      </c>
      <c r="U194" s="7">
        <v>79402</v>
      </c>
      <c r="V194" s="7">
        <f t="shared" si="22"/>
        <v>-65552.20999999999</v>
      </c>
      <c r="W194" s="7">
        <f>9253.63+7585.23</f>
        <v>16838.86</v>
      </c>
      <c r="X194" s="7">
        <f>33.04+3025.52+257.24</f>
        <v>3315.8</v>
      </c>
      <c r="Y194" s="7"/>
      <c r="Z194" s="12">
        <v>122.16</v>
      </c>
      <c r="AA194" s="7">
        <f t="shared" si="23"/>
        <v>-51353.139999999985</v>
      </c>
    </row>
    <row r="195" spans="1:27" s="10" customFormat="1" ht="12.75">
      <c r="A195" s="7">
        <f t="shared" si="24"/>
        <v>110</v>
      </c>
      <c r="B195" s="7" t="s">
        <v>87</v>
      </c>
      <c r="C195" s="7">
        <v>13315.6</v>
      </c>
      <c r="D195" s="7">
        <v>1429.41</v>
      </c>
      <c r="E195" s="7">
        <v>13280.93</v>
      </c>
      <c r="F195" s="7">
        <v>1515.72</v>
      </c>
      <c r="G195" s="7"/>
      <c r="H195" s="7">
        <f t="shared" si="19"/>
        <v>14796.65</v>
      </c>
      <c r="I195" s="12">
        <v>14531.4</v>
      </c>
      <c r="J195" s="7"/>
      <c r="K195" s="12">
        <v>13584.19</v>
      </c>
      <c r="L195" s="7"/>
      <c r="M195" s="7"/>
      <c r="N195" s="7">
        <f t="shared" si="21"/>
        <v>13584.19</v>
      </c>
      <c r="O195" s="7">
        <v>17896.63</v>
      </c>
      <c r="P195" s="7">
        <v>17459.77</v>
      </c>
      <c r="Q195" s="7">
        <v>964</v>
      </c>
      <c r="R195" s="7">
        <f t="shared" si="20"/>
        <v>16495.77</v>
      </c>
      <c r="S195" s="12">
        <v>18500.88</v>
      </c>
      <c r="T195" s="12">
        <v>18591.47</v>
      </c>
      <c r="U195" s="7">
        <v>6515</v>
      </c>
      <c r="V195" s="7">
        <f t="shared" si="22"/>
        <v>12076.470000000001</v>
      </c>
      <c r="W195" s="7">
        <f>1709.25+1487.81</f>
        <v>3197.06</v>
      </c>
      <c r="X195" s="7">
        <v>3565.96</v>
      </c>
      <c r="Y195" s="7"/>
      <c r="Z195" s="12">
        <v>1106.59</v>
      </c>
      <c r="AA195" s="7">
        <f>H195+N195+R195+V195-W195-X195+Y195+Z195</f>
        <v>51296.65</v>
      </c>
    </row>
    <row r="196" spans="1:27" s="10" customFormat="1" ht="12.75">
      <c r="A196" s="7">
        <f t="shared" si="24"/>
        <v>111</v>
      </c>
      <c r="B196" s="7" t="s">
        <v>88</v>
      </c>
      <c r="C196" s="7">
        <v>4629.84</v>
      </c>
      <c r="D196" s="7">
        <v>0</v>
      </c>
      <c r="E196" s="7">
        <v>3162.72</v>
      </c>
      <c r="F196" s="7">
        <v>0</v>
      </c>
      <c r="G196" s="7"/>
      <c r="H196" s="7">
        <f t="shared" si="19"/>
        <v>3162.72</v>
      </c>
      <c r="I196" s="12">
        <v>4789.44</v>
      </c>
      <c r="J196" s="7"/>
      <c r="K196" s="12">
        <v>5523.59</v>
      </c>
      <c r="L196" s="7"/>
      <c r="M196" s="7"/>
      <c r="N196" s="7">
        <f t="shared" si="21"/>
        <v>5523.59</v>
      </c>
      <c r="O196" s="7">
        <v>6665.52</v>
      </c>
      <c r="P196" s="7">
        <v>4223.66</v>
      </c>
      <c r="Q196" s="7">
        <v>0</v>
      </c>
      <c r="R196" s="7">
        <f t="shared" si="20"/>
        <v>4223.66</v>
      </c>
      <c r="S196" s="12">
        <v>6904.8</v>
      </c>
      <c r="T196" s="12">
        <v>7472.58</v>
      </c>
      <c r="U196" s="7">
        <v>0</v>
      </c>
      <c r="V196" s="7">
        <f t="shared" si="22"/>
        <v>7472.58</v>
      </c>
      <c r="W196" s="7">
        <v>1896.31</v>
      </c>
      <c r="X196" s="7">
        <f>554.6+243.08</f>
        <v>797.6800000000001</v>
      </c>
      <c r="Y196" s="7"/>
      <c r="Z196" s="12">
        <v>86.76</v>
      </c>
      <c r="AA196" s="7">
        <f t="shared" si="23"/>
        <v>17775.319999999996</v>
      </c>
    </row>
    <row r="197" spans="1:2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>
        <f>SUM(W86:W196)</f>
        <v>2435560.14</v>
      </c>
      <c r="X197" s="2">
        <f>SUM(X86:X196)</f>
        <v>2143599.5500000003</v>
      </c>
      <c r="Y197" s="2">
        <f>SUM(Y86:Y196)</f>
        <v>896148.3099999999</v>
      </c>
      <c r="Z197" s="2">
        <f>SUM(Z86:Z196)</f>
        <v>323726.6800000002</v>
      </c>
      <c r="AA197" s="2">
        <f>SUM(AA86:AA196)</f>
        <v>-1367750.0100000002</v>
      </c>
    </row>
    <row r="198" spans="1:2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</sheetData>
  <sheetProtection/>
  <mergeCells count="60">
    <mergeCell ref="Y82:Y85"/>
    <mergeCell ref="Z82:Z85"/>
    <mergeCell ref="I84:J84"/>
    <mergeCell ref="K84:L84"/>
    <mergeCell ref="T84:T85"/>
    <mergeCell ref="U84:U85"/>
    <mergeCell ref="M84:M85"/>
    <mergeCell ref="N84:N85"/>
    <mergeCell ref="O84:O85"/>
    <mergeCell ref="P84:P85"/>
    <mergeCell ref="W3:W6"/>
    <mergeCell ref="X3:X6"/>
    <mergeCell ref="O4:R4"/>
    <mergeCell ref="AA3:AA6"/>
    <mergeCell ref="S5:S6"/>
    <mergeCell ref="T5:T6"/>
    <mergeCell ref="U5:U6"/>
    <mergeCell ref="V5:V6"/>
    <mergeCell ref="Z4:Z6"/>
    <mergeCell ref="Y4:Y6"/>
    <mergeCell ref="A1:H1"/>
    <mergeCell ref="C5:D5"/>
    <mergeCell ref="E5:F5"/>
    <mergeCell ref="G5:G6"/>
    <mergeCell ref="H5:H6"/>
    <mergeCell ref="C3:N3"/>
    <mergeCell ref="N5:N6"/>
    <mergeCell ref="C4:H4"/>
    <mergeCell ref="I4:N4"/>
    <mergeCell ref="I5:J5"/>
    <mergeCell ref="A3:A6"/>
    <mergeCell ref="B3:B6"/>
    <mergeCell ref="O3:V3"/>
    <mergeCell ref="S4:V4"/>
    <mergeCell ref="O5:O6"/>
    <mergeCell ref="P5:P6"/>
    <mergeCell ref="Q5:Q6"/>
    <mergeCell ref="R5:R6"/>
    <mergeCell ref="K5:L5"/>
    <mergeCell ref="M5:M6"/>
    <mergeCell ref="A80:H80"/>
    <mergeCell ref="A82:A85"/>
    <mergeCell ref="B82:B85"/>
    <mergeCell ref="C82:N82"/>
    <mergeCell ref="C83:H83"/>
    <mergeCell ref="I83:N83"/>
    <mergeCell ref="C84:D84"/>
    <mergeCell ref="E84:F84"/>
    <mergeCell ref="G84:G85"/>
    <mergeCell ref="H84:H85"/>
    <mergeCell ref="O82:V82"/>
    <mergeCell ref="W82:W85"/>
    <mergeCell ref="X82:X85"/>
    <mergeCell ref="AA82:AA85"/>
    <mergeCell ref="O83:R83"/>
    <mergeCell ref="S83:V83"/>
    <mergeCell ref="Q84:Q85"/>
    <mergeCell ref="V84:V85"/>
    <mergeCell ref="R84:R85"/>
    <mergeCell ref="S84:S85"/>
  </mergeCells>
  <printOptions/>
  <pageMargins left="0.7874015748031497" right="0.1968503937007874" top="0.984251968503937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АМУ ГМПП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2009-12-15T13:53:30Z</cp:lastPrinted>
  <dcterms:created xsi:type="dcterms:W3CDTF">2004-11-29T07:02:52Z</dcterms:created>
  <dcterms:modified xsi:type="dcterms:W3CDTF">2011-04-15T12:45:16Z</dcterms:modified>
  <cp:category/>
  <cp:version/>
  <cp:contentType/>
  <cp:contentStatus/>
</cp:coreProperties>
</file>